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5" yWindow="-15" windowWidth="3840" windowHeight="8700" activeTab="1"/>
  </bookViews>
  <sheets>
    <sheet name="ENVASES LIGEROS " sheetId="1" r:id="rId1"/>
    <sheet name="PAPEL CARTÓN" sheetId="2" r:id="rId2"/>
    <sheet name="VIDRIO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'ENVASES LIGEROS '!$A$1:$O$92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/>
  <c r="I21"/>
  <c r="N21"/>
  <c r="D22"/>
  <c r="I22"/>
  <c r="N22"/>
  <c r="D23"/>
  <c r="I23"/>
  <c r="N23"/>
  <c r="O23"/>
  <c r="D24"/>
  <c r="E24"/>
  <c r="I24"/>
  <c r="J24"/>
  <c r="N24"/>
  <c r="D25"/>
  <c r="I25"/>
  <c r="N25"/>
  <c r="D26"/>
  <c r="I26"/>
  <c r="N26"/>
  <c r="B33"/>
  <c r="C33"/>
  <c r="G33"/>
  <c r="H33"/>
  <c r="L33"/>
  <c r="M33"/>
  <c r="E44"/>
  <c r="E45"/>
  <c r="E46"/>
  <c r="C47"/>
  <c r="C12" i="1"/>
  <c r="D29"/>
  <c r="D33" i="2" l="1"/>
  <c r="N33"/>
  <c r="I33"/>
  <c r="E47"/>
  <c r="C11" i="1"/>
  <c r="D28"/>
  <c r="G69" i="2" l="1"/>
  <c r="F10" i="3" l="1"/>
  <c r="E10" l="1"/>
  <c r="D10"/>
  <c r="B18"/>
  <c r="B17"/>
  <c r="B16"/>
  <c r="B15"/>
  <c r="B14"/>
  <c r="B13"/>
  <c r="B12"/>
  <c r="B11"/>
  <c r="B10"/>
  <c r="B9"/>
  <c r="B8"/>
  <c r="B7"/>
  <c r="C8" i="2"/>
  <c r="D27" i="1"/>
  <c r="L70"/>
  <c r="K70"/>
  <c r="J70"/>
  <c r="I70"/>
  <c r="H70"/>
  <c r="G70"/>
  <c r="F70"/>
  <c r="E70"/>
  <c r="D70"/>
  <c r="C70"/>
  <c r="M46" i="2" l="1"/>
  <c r="K46"/>
  <c r="I46"/>
  <c r="G46"/>
  <c r="M45"/>
  <c r="K45"/>
  <c r="I45"/>
  <c r="G45"/>
  <c r="M44"/>
  <c r="K44"/>
  <c r="I44"/>
  <c r="G44"/>
  <c r="G47" l="1"/>
  <c r="I47"/>
  <c r="K47"/>
  <c r="F69" l="1"/>
  <c r="E69"/>
  <c r="D69"/>
  <c r="C69"/>
  <c r="K52" i="3" l="1"/>
  <c r="J52"/>
  <c r="I52"/>
  <c r="H52"/>
  <c r="G52"/>
  <c r="F52"/>
  <c r="E52"/>
  <c r="D52"/>
  <c r="C52"/>
  <c r="B52"/>
  <c r="B7" i="1" l="1"/>
  <c r="B9"/>
  <c r="B10"/>
  <c r="D10" s="1"/>
  <c r="B11"/>
  <c r="D11" s="1"/>
  <c r="B12"/>
  <c r="B13"/>
  <c r="B14"/>
  <c r="B15"/>
  <c r="B16"/>
  <c r="B17"/>
  <c r="B18"/>
  <c r="B8"/>
  <c r="B36"/>
  <c r="G36" l="1"/>
  <c r="H36"/>
  <c r="I36" l="1"/>
  <c r="C36" l="1"/>
  <c r="E27" l="1"/>
  <c r="D26"/>
  <c r="D25"/>
  <c r="D24"/>
  <c r="E10"/>
  <c r="B19"/>
  <c r="D9"/>
  <c r="D8"/>
  <c r="C19"/>
  <c r="D7"/>
  <c r="D9" i="3"/>
  <c r="D8"/>
  <c r="B19"/>
  <c r="D7"/>
  <c r="D19" i="1" l="1"/>
  <c r="C19" i="3"/>
  <c r="D19" s="1"/>
  <c r="B6" i="2"/>
  <c r="B7"/>
  <c r="B8"/>
  <c r="D8" s="1"/>
  <c r="B9"/>
  <c r="B10"/>
  <c r="B11"/>
  <c r="B12"/>
  <c r="B13"/>
  <c r="B14"/>
  <c r="B15"/>
  <c r="B16"/>
  <c r="B5"/>
  <c r="C6"/>
  <c r="C7"/>
  <c r="C5"/>
  <c r="E7" l="1"/>
  <c r="D6"/>
  <c r="D5"/>
  <c r="D7"/>
  <c r="B17"/>
  <c r="C17"/>
  <c r="D17" l="1"/>
  <c r="D36" i="1" l="1"/>
  <c r="G38"/>
</calcChain>
</file>

<file path=xl/sharedStrings.xml><?xml version="1.0" encoding="utf-8"?>
<sst xmlns="http://schemas.openxmlformats.org/spreadsheetml/2006/main" count="228" uniqueCount="84">
  <si>
    <t xml:space="preserve">ENERO </t>
  </si>
  <si>
    <t>FEBRERO</t>
  </si>
  <si>
    <t xml:space="preserve">MARZO </t>
  </si>
  <si>
    <t xml:space="preserve">Diferencia </t>
  </si>
  <si>
    <t xml:space="preserve">total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</si>
  <si>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</si>
  <si>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</si>
  <si>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</si>
  <si>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</si>
  <si>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</si>
  <si>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</si>
  <si>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</si>
  <si>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</si>
  <si>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</si>
  <si>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CONTENEDORES</t>
  </si>
  <si>
    <t>P/ C COMERCIAL</t>
  </si>
  <si>
    <t xml:space="preserve">P/C PUNTOS LIMPIOS </t>
  </si>
  <si>
    <t xml:space="preserve">TOTAL KG RECOGIDOS </t>
  </si>
  <si>
    <t xml:space="preserve">Contenedor, Pta a Pta y Ptos Limpios </t>
  </si>
  <si>
    <t>%acumulado 1T</t>
  </si>
  <si>
    <t>Contenedor</t>
  </si>
  <si>
    <t xml:space="preserve">RECOGIDA DE VIDRIO EVOLUCIÓN POR MES </t>
  </si>
  <si>
    <t xml:space="preserve">RECOGIDA DE PAPEL CARTÓN EVOLUCIÓN POR MES </t>
  </si>
  <si>
    <t xml:space="preserve">RECOGIDA DE ENVASES EVOLUCIÓN POR MES </t>
  </si>
  <si>
    <t xml:space="preserve">BÁSCULA COMPLEJO AMBIENTAL </t>
  </si>
  <si>
    <t>% ACUMULADO 1T</t>
  </si>
  <si>
    <t>DATO CONTENEDOR MC</t>
  </si>
  <si>
    <t xml:space="preserve">ENTRADAS PARTICULARES/ AYTOS </t>
  </si>
  <si>
    <t>-</t>
  </si>
  <si>
    <t>Incr. %</t>
  </si>
  <si>
    <t>Kilos recogidos</t>
  </si>
  <si>
    <t>Kilos recogidos/habit.</t>
  </si>
  <si>
    <t>Contenedores</t>
  </si>
  <si>
    <t>Barlovento</t>
  </si>
  <si>
    <t>Breña Alta</t>
  </si>
  <si>
    <t>Breña Baja</t>
  </si>
  <si>
    <t>Fuencaliente</t>
  </si>
  <si>
    <t>Garafía</t>
  </si>
  <si>
    <t>Los Llanos de Aridane</t>
  </si>
  <si>
    <t>Mazo, Villa de</t>
  </si>
  <si>
    <t>Paso, El</t>
  </si>
  <si>
    <t>Puntagorda</t>
  </si>
  <si>
    <t>Puntallana</t>
  </si>
  <si>
    <t>San Andrés y Sauces</t>
  </si>
  <si>
    <t>Santa Cruz de La Palma</t>
  </si>
  <si>
    <t>Tazacorte</t>
  </si>
  <si>
    <t>Tijarafe</t>
  </si>
  <si>
    <t>Kilos recogidos/habitante</t>
  </si>
  <si>
    <t>HISTÓRICO ENVASES CONTENEDOR</t>
  </si>
  <si>
    <t>*Datos de kilos en contenedores</t>
  </si>
  <si>
    <t>HISTÓRICO DE RECOGIDA DE VIDRIO</t>
  </si>
  <si>
    <t xml:space="preserve">Porcentaje acumulado Primer Trimestre </t>
  </si>
  <si>
    <t>Datos de recogida de vidrio por municipio ( Tn )</t>
  </si>
  <si>
    <t>ORIGEN</t>
  </si>
  <si>
    <t>BARLOVENTO</t>
  </si>
  <si>
    <t>BREÑA ALTA</t>
  </si>
  <si>
    <t>BREÑA BAJA</t>
  </si>
  <si>
    <t>FUENCALIENTE</t>
  </si>
  <si>
    <t>GARAFIA</t>
  </si>
  <si>
    <t xml:space="preserve">LLANOS DE ARIDANE (LOS) </t>
  </si>
  <si>
    <t>PASO (EL)</t>
  </si>
  <si>
    <t>PUNTAGORDA</t>
  </si>
  <si>
    <t>PUNTALLANA</t>
  </si>
  <si>
    <t>SAN ANDRES Y SAUCES</t>
  </si>
  <si>
    <t>SANTA CRUZ DE LA PALMA</t>
  </si>
  <si>
    <t>TAZACORTE</t>
  </si>
  <si>
    <t>TIJARAFE</t>
  </si>
  <si>
    <t>VILLA DE MAZO</t>
  </si>
  <si>
    <t xml:space="preserve">REGODIDA EN CONTENEDORES </t>
  </si>
  <si>
    <t>RECUPERADO EN COMPLEJO AMBIEMTAL LOS MORENOS</t>
  </si>
  <si>
    <t>Kilos recogidos contenedor</t>
  </si>
  <si>
    <t>nº Contenedores en la calle</t>
  </si>
  <si>
    <t>TOTAL PAPEL CARTÓN  LA PALMA</t>
  </si>
  <si>
    <t>TONELAS POR TIPO DE RECOGIDA</t>
  </si>
  <si>
    <t>En  contenedores</t>
  </si>
  <si>
    <t>En Comercial - Puerta a Pta.</t>
  </si>
  <si>
    <t>RECOGIDA DE PAPEL CARTÓN POR MUNICIPIOS</t>
  </si>
  <si>
    <t>En Puntos Limpios</t>
  </si>
  <si>
    <t>Nota= kilos recogidos en contenedores +kilos de Ayos y particulares</t>
  </si>
  <si>
    <t xml:space="preserve">Datos de recogida de evases por municipio </t>
  </si>
  <si>
    <t>Tn EN CONTENEDOR DE ENVASE</t>
  </si>
  <si>
    <t>Tn recogidas en contendor</t>
  </si>
  <si>
    <t xml:space="preserve">acumulado  anual </t>
  </si>
  <si>
    <t>abril20-marzo 20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</si>
</sst>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203">
    <xf numFmtId="0" fontId="0" fillId="0" borderId="0" xfId="0"/>
    <xf numFmtId="10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5" fillId="0" borderId="0" xfId="0" applyFont="1"/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3" fillId="2" borderId="1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10" fontId="0" fillId="0" borderId="20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/>
    <xf numFmtId="0" fontId="7" fillId="0" borderId="0" xfId="0" applyFon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8" fillId="0" borderId="0" xfId="0" applyNumberFormat="1" applyFont="1"/>
    <xf numFmtId="10" fontId="3" fillId="0" borderId="2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10" fillId="0" borderId="23" xfId="0" applyNumberFormat="1" applyFont="1" applyBorder="1"/>
    <xf numFmtId="0" fontId="10" fillId="0" borderId="21" xfId="0" applyNumberFormat="1" applyFont="1" applyBorder="1"/>
    <xf numFmtId="0" fontId="10" fillId="0" borderId="27" xfId="0" applyNumberFormat="1" applyFont="1" applyBorder="1"/>
    <xf numFmtId="0" fontId="13" fillId="0" borderId="23" xfId="0" applyNumberFormat="1" applyFont="1" applyBorder="1"/>
    <xf numFmtId="0" fontId="13" fillId="0" borderId="21" xfId="0" applyNumberFormat="1" applyFont="1" applyBorder="1"/>
    <xf numFmtId="0" fontId="13" fillId="0" borderId="27" xfId="0" applyNumberFormat="1" applyFont="1" applyBorder="1"/>
    <xf numFmtId="3" fontId="11" fillId="0" borderId="29" xfId="0" applyNumberFormat="1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/>
    <xf numFmtId="14" fontId="12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6" fillId="0" borderId="24" xfId="0" applyFont="1" applyBorder="1"/>
    <xf numFmtId="3" fontId="11" fillId="0" borderId="25" xfId="0" applyNumberFormat="1" applyFont="1" applyBorder="1"/>
    <xf numFmtId="3" fontId="11" fillId="0" borderId="25" xfId="0" applyNumberFormat="1" applyFont="1" applyBorder="1" applyAlignment="1">
      <alignment horizontal="center"/>
    </xf>
    <xf numFmtId="0" fontId="6" fillId="0" borderId="26" xfId="0" applyFont="1" applyBorder="1"/>
    <xf numFmtId="165" fontId="11" fillId="0" borderId="25" xfId="0" applyNumberFormat="1" applyFont="1" applyBorder="1"/>
    <xf numFmtId="0" fontId="6" fillId="0" borderId="28" xfId="0" applyFont="1" applyBorder="1"/>
    <xf numFmtId="3" fontId="11" fillId="0" borderId="29" xfId="0" applyNumberFormat="1" applyFont="1" applyBorder="1"/>
    <xf numFmtId="0" fontId="15" fillId="0" borderId="0" xfId="0" applyFont="1" applyBorder="1"/>
    <xf numFmtId="0" fontId="11" fillId="0" borderId="0" xfId="0" applyFont="1" applyBorder="1"/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28" xfId="0" applyNumberFormat="1" applyFont="1" applyBorder="1"/>
    <xf numFmtId="0" fontId="11" fillId="0" borderId="32" xfId="0" applyFont="1" applyFill="1" applyBorder="1" applyAlignment="1">
      <alignment horizontal="center"/>
    </xf>
    <xf numFmtId="0" fontId="13" fillId="0" borderId="0" xfId="0" applyNumberFormat="1" applyFont="1" applyBorder="1"/>
    <xf numFmtId="0" fontId="11" fillId="0" borderId="24" xfId="0" applyFont="1" applyBorder="1"/>
    <xf numFmtId="0" fontId="11" fillId="0" borderId="26" xfId="0" applyFont="1" applyBorder="1"/>
    <xf numFmtId="0" fontId="11" fillId="0" borderId="28" xfId="0" applyFont="1" applyBorder="1"/>
    <xf numFmtId="0" fontId="12" fillId="0" borderId="0" xfId="0" applyFont="1" applyBorder="1" applyAlignment="1">
      <alignment horizontal="center"/>
    </xf>
    <xf numFmtId="3" fontId="6" fillId="0" borderId="0" xfId="0" applyNumberFormat="1" applyFont="1" applyBorder="1"/>
    <xf numFmtId="3" fontId="11" fillId="0" borderId="0" xfId="0" applyNumberFormat="1" applyFont="1" applyBorder="1"/>
    <xf numFmtId="0" fontId="11" fillId="0" borderId="3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6" xfId="0" applyNumberFormat="1" applyFont="1" applyBorder="1"/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3" xfId="0" applyBorder="1"/>
    <xf numFmtId="0" fontId="21" fillId="0" borderId="1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3" fontId="21" fillId="0" borderId="0" xfId="0" applyNumberFormat="1" applyFont="1"/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2" fillId="0" borderId="23" xfId="0" applyFont="1" applyBorder="1"/>
    <xf numFmtId="0" fontId="22" fillId="0" borderId="21" xfId="0" applyFont="1" applyBorder="1"/>
    <xf numFmtId="0" fontId="22" fillId="0" borderId="27" xfId="0" applyFont="1" applyBorder="1"/>
    <xf numFmtId="0" fontId="23" fillId="0" borderId="8" xfId="0" applyFont="1" applyBorder="1" applyAlignment="1">
      <alignment wrapText="1"/>
    </xf>
    <xf numFmtId="0" fontId="22" fillId="0" borderId="22" xfId="0" applyFont="1" applyBorder="1"/>
    <xf numFmtId="0" fontId="0" fillId="0" borderId="34" xfId="0" applyBorder="1"/>
    <xf numFmtId="0" fontId="11" fillId="0" borderId="0" xfId="0" applyFont="1" applyAlignment="1">
      <alignment horizontal="center"/>
    </xf>
    <xf numFmtId="0" fontId="13" fillId="0" borderId="23" xfId="0" applyFont="1" applyBorder="1"/>
    <xf numFmtId="0" fontId="13" fillId="0" borderId="21" xfId="0" applyFont="1" applyBorder="1"/>
    <xf numFmtId="0" fontId="13" fillId="0" borderId="27" xfId="0" applyFont="1" applyBorder="1"/>
    <xf numFmtId="0" fontId="11" fillId="0" borderId="0" xfId="0" applyFont="1"/>
    <xf numFmtId="3" fontId="21" fillId="0" borderId="19" xfId="0" applyNumberFormat="1" applyFont="1" applyBorder="1" applyAlignment="1">
      <alignment horizontal="right"/>
    </xf>
    <xf numFmtId="0" fontId="24" fillId="3" borderId="22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3" fontId="24" fillId="3" borderId="22" xfId="0" applyNumberFormat="1" applyFont="1" applyFill="1" applyBorder="1" applyAlignment="1">
      <alignment horizontal="center"/>
    </xf>
    <xf numFmtId="9" fontId="24" fillId="3" borderId="22" xfId="0" applyNumberFormat="1" applyFont="1" applyFill="1" applyBorder="1" applyAlignment="1">
      <alignment horizontal="center"/>
    </xf>
    <xf numFmtId="0" fontId="21" fillId="0" borderId="23" xfId="0" applyNumberFormat="1" applyFont="1" applyBorder="1"/>
    <xf numFmtId="0" fontId="21" fillId="0" borderId="21" xfId="0" applyNumberFormat="1" applyFont="1" applyBorder="1"/>
    <xf numFmtId="0" fontId="21" fillId="0" borderId="27" xfId="0" applyNumberFormat="1" applyFont="1" applyBorder="1"/>
    <xf numFmtId="0" fontId="25" fillId="0" borderId="0" xfId="0" applyFont="1"/>
    <xf numFmtId="3" fontId="20" fillId="3" borderId="30" xfId="0" applyNumberFormat="1" applyFont="1" applyFill="1" applyBorder="1" applyAlignment="1">
      <alignment horizontal="center"/>
    </xf>
    <xf numFmtId="3" fontId="20" fillId="3" borderId="15" xfId="0" applyNumberFormat="1" applyFont="1" applyFill="1" applyBorder="1" applyAlignment="1">
      <alignment horizontal="center"/>
    </xf>
    <xf numFmtId="3" fontId="20" fillId="3" borderId="24" xfId="0" applyNumberFormat="1" applyFont="1" applyFill="1" applyBorder="1" applyAlignment="1">
      <alignment horizontal="center"/>
    </xf>
    <xf numFmtId="3" fontId="20" fillId="3" borderId="25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20" fillId="3" borderId="21" xfId="0" applyNumberFormat="1" applyFont="1" applyFill="1" applyBorder="1" applyAlignment="1">
      <alignment horizontal="center"/>
    </xf>
    <xf numFmtId="3" fontId="20" fillId="3" borderId="26" xfId="0" applyNumberFormat="1" applyFont="1" applyFill="1" applyBorder="1" applyAlignment="1">
      <alignment horizontal="center"/>
    </xf>
    <xf numFmtId="3" fontId="20" fillId="3" borderId="23" xfId="0" applyNumberFormat="1" applyFont="1" applyFill="1" applyBorder="1" applyAlignment="1">
      <alignment horizontal="center"/>
    </xf>
    <xf numFmtId="3" fontId="20" fillId="3" borderId="29" xfId="0" applyNumberFormat="1" applyFont="1" applyFill="1" applyBorder="1" applyAlignment="1">
      <alignment horizontal="center"/>
    </xf>
    <xf numFmtId="4" fontId="21" fillId="0" borderId="8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/>
    <xf numFmtId="3" fontId="2" fillId="0" borderId="8" xfId="0" applyNumberFormat="1" applyFont="1" applyBorder="1" applyAlignment="1">
      <alignment horizontal="right"/>
    </xf>
    <xf numFmtId="0" fontId="0" fillId="0" borderId="8" xfId="0" applyFont="1" applyBorder="1"/>
    <xf numFmtId="3" fontId="2" fillId="0" borderId="9" xfId="0" applyNumberFormat="1" applyFont="1" applyBorder="1" applyAlignment="1">
      <alignment horizontal="right"/>
    </xf>
    <xf numFmtId="0" fontId="0" fillId="0" borderId="9" xfId="0" applyFont="1" applyBorder="1"/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/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0" fillId="0" borderId="0" xfId="0" applyNumberFormat="1"/>
    <xf numFmtId="165" fontId="6" fillId="0" borderId="21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8" fillId="0" borderId="0" xfId="0" applyFont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24" fillId="3" borderId="22" xfId="0" applyFont="1" applyFill="1" applyBorder="1" applyAlignment="1">
      <alignment horizontal="center" vertical="center"/>
    </xf>
    <xf numFmtId="3" fontId="20" fillId="3" borderId="30" xfId="0" applyNumberFormat="1" applyFont="1" applyFill="1" applyBorder="1" applyAlignment="1">
      <alignment horizontal="center" vertical="center"/>
    </xf>
    <xf numFmtId="3" fontId="20" fillId="3" borderId="25" xfId="0" applyNumberFormat="1" applyFont="1" applyFill="1" applyBorder="1" applyAlignment="1">
      <alignment horizontal="center" vertical="center"/>
    </xf>
    <xf numFmtId="3" fontId="24" fillId="3" borderId="22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7">
    <cellStyle name="Millares 2" xfId="1"/>
    <cellStyle name="Normal" xfId="0" builtinId="0"/>
    <cellStyle name="Normal 2" xfId="3"/>
    <cellStyle name="Normal 3" xfId="4"/>
    <cellStyle name="Normal 4" xfId="5"/>
    <cellStyle name="Normal 5" xfId="6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EVOLUCIÓN DE</a:t>
            </a:r>
            <a:r>
              <a:rPr lang="es-ES" baseline="0"/>
              <a:t> LA </a:t>
            </a:r>
            <a:r>
              <a:rPr lang="es-ES"/>
              <a:t>RECOGIDA</a:t>
            </a:r>
            <a:r>
              <a:rPr lang="es-ES" baseline="0"/>
              <a:t> DE ENVASES </a:t>
            </a:r>
            <a:endParaRPr lang="es-ES"/>
          </a:p>
        </c:rich>
      </c:tx>
      <c:layout>
        <c:manualLayout>
          <c:xMode val="edge"/>
          <c:yMode val="edge"/>
          <c:x val="0.22573318547065024"/>
          <c:y val="8.2882859365011177E-2"/>
        </c:manualLayout>
      </c:layout>
    </c:title>
    <c:view3D>
      <c:rotX val="20"/>
      <c:rotY val="80"/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[1]ENVASES!$A$21</c:f>
              <c:strCache>
                <c:ptCount val="1"/>
                <c:pt idx="0">
                  <c:v>Tn EN CONTENEDOR DE ENVASE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1.8859025959523483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1-48D0-BBFA-206740D81A3F}"/>
                </c:ext>
              </c:extLst>
            </c:dLbl>
            <c:dLbl>
              <c:idx val="1"/>
              <c:layout>
                <c:manualLayout>
                  <c:x val="2.0744928555475852E-2"/>
                  <c:y val="-1.44144103243497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91-48D0-BBFA-206740D81A3F}"/>
                </c:ext>
              </c:extLst>
            </c:dLbl>
            <c:dLbl>
              <c:idx val="2"/>
              <c:layout>
                <c:manualLayout>
                  <c:x val="1.697312336357118E-2"/>
                  <c:y val="-1.44144103243497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91-48D0-BBFA-206740D81A3F}"/>
                </c:ext>
              </c:extLst>
            </c:dLbl>
            <c:dLbl>
              <c:idx val="3"/>
              <c:layout>
                <c:manualLayout>
                  <c:x val="1.697312336357118E-2"/>
                  <c:y val="-1.44144103243497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91-48D0-BBFA-206740D81A3F}"/>
                </c:ext>
              </c:extLst>
            </c:dLbl>
            <c:dLbl>
              <c:idx val="4"/>
              <c:layout>
                <c:manualLayout>
                  <c:x val="1.5087220767618753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91-48D0-BBFA-206740D81A3F}"/>
                </c:ext>
              </c:extLst>
            </c:dLbl>
            <c:dLbl>
              <c:idx val="5"/>
              <c:layout>
                <c:manualLayout>
                  <c:x val="2.0744928555475831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91-48D0-BBFA-206740D81A3F}"/>
                </c:ext>
              </c:extLst>
            </c:dLbl>
            <c:dLbl>
              <c:idx val="6"/>
              <c:layout>
                <c:manualLayout>
                  <c:x val="1.697312336357118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91-48D0-BBFA-206740D81A3F}"/>
                </c:ext>
              </c:extLst>
            </c:dLbl>
            <c:dLbl>
              <c:idx val="7"/>
              <c:layout>
                <c:manualLayout>
                  <c:x val="1.320131817166644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91-48D0-BBFA-206740D81A3F}"/>
                </c:ext>
              </c:extLst>
            </c:dLbl>
            <c:dLbl>
              <c:idx val="8"/>
              <c:layout>
                <c:manualLayout>
                  <c:x val="1.697312336357118E-2"/>
                  <c:y val="-1.80180129054372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91-48D0-BBFA-206740D81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'ENVASES LIGEROS '!$C$54:$L$54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'ENVASES LIGEROS '!$C$70:$L$70</c:f>
              <c:numCache>
                <c:formatCode>#,##0</c:formatCode>
                <c:ptCount val="10"/>
                <c:pt idx="0">
                  <c:v>416.56</c:v>
                </c:pt>
                <c:pt idx="1">
                  <c:v>432.94</c:v>
                </c:pt>
                <c:pt idx="2">
                  <c:v>431.15</c:v>
                </c:pt>
                <c:pt idx="3">
                  <c:v>446.75738000000001</c:v>
                </c:pt>
                <c:pt idx="4">
                  <c:v>442.84</c:v>
                </c:pt>
                <c:pt idx="5">
                  <c:v>496.12</c:v>
                </c:pt>
                <c:pt idx="6">
                  <c:v>583.14</c:v>
                </c:pt>
                <c:pt idx="7">
                  <c:v>700.68</c:v>
                </c:pt>
                <c:pt idx="8">
                  <c:v>787.62046942991003</c:v>
                </c:pt>
                <c:pt idx="9">
                  <c:v>914.51800000000003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191-48D0-BBFA-206740D81A3F}"/>
            </c:ext>
          </c:extLst>
        </c:ser>
        <c:shape val="cylinder"/>
        <c:axId val="110939520"/>
        <c:axId val="111367296"/>
        <c:axId val="0"/>
      </c:bar3DChart>
      <c:catAx>
        <c:axId val="11093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anchor="t" anchorCtr="1"/>
          <a:lstStyle/>
          <a:p>
            <a:pPr>
              <a:defRPr b="1"/>
            </a:pPr>
            <a:endParaRPr lang="es-ES"/>
          </a:p>
        </c:txPr>
        <c:crossAx val="111367296"/>
        <c:crosses val="autoZero"/>
        <c:auto val="1"/>
        <c:lblAlgn val="ctr"/>
        <c:lblOffset val="100"/>
      </c:catAx>
      <c:valAx>
        <c:axId val="111367296"/>
        <c:scaling>
          <c:orientation val="minMax"/>
        </c:scaling>
        <c:delete val="1"/>
        <c:axPos val="l"/>
        <c:numFmt formatCode="#,##0" sourceLinked="1"/>
        <c:majorTickMark val="none"/>
        <c:tickLblPos val="nextTo"/>
        <c:crossAx val="110939520"/>
        <c:crosses val="autoZero"/>
        <c:crossBetween val="between"/>
      </c:valAx>
    </c:plotArea>
    <c:legend>
      <c:legendPos val="b"/>
    </c:legend>
    <c:plotVisOnly val="1"/>
    <c:dispBlanksAs val="gap"/>
  </c:chart>
  <c:spPr>
    <a:scene3d>
      <a:camera prst="orthographicFront"/>
      <a:lightRig rig="threePt" dir="t"/>
    </a:scene3d>
    <a:sp3d>
      <a:bevelT w="25400"/>
    </a:sp3d>
  </c:spPr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</a:t>
            </a:r>
            <a:r>
              <a:rPr lang="es-ES"/>
              <a:t>RECOGIDA</a:t>
            </a:r>
            <a:r>
              <a:rPr lang="es-ES" baseline="0"/>
              <a:t> DE PAPEL/CARTÓN (Tn) </a:t>
            </a:r>
            <a:endParaRPr lang="es-ES"/>
          </a:p>
        </c:rich>
      </c:tx>
      <c:layout>
        <c:manualLayout>
          <c:xMode val="edge"/>
          <c:yMode val="edge"/>
          <c:x val="0.18801513355160393"/>
          <c:y val="9.7297269689360963E-2"/>
        </c:manualLayout>
      </c:layout>
    </c:title>
    <c:view3D>
      <c:rotX val="20"/>
      <c:depthPercent val="100"/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883392124972518"/>
          <c:y val="0.19358935866645596"/>
          <c:w val="0.82827762579776165"/>
          <c:h val="0.6293978171068032"/>
        </c:manualLayout>
      </c:layout>
      <c:bar3DChart>
        <c:barDir val="col"/>
        <c:grouping val="clustered"/>
        <c:ser>
          <c:idx val="0"/>
          <c:order val="0"/>
          <c:tx>
            <c:strRef>
              <c:f>'PAPEL CARTÓN'!$A$44:$B$44</c:f>
              <c:strCache>
                <c:ptCount val="1"/>
                <c:pt idx="0">
                  <c:v>En  contenedores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9.5567344739383286E-3"/>
                  <c:y val="-2.16217357214416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B2-4D30-9432-E0721CE23CF6}"/>
                </c:ext>
              </c:extLst>
            </c:dLbl>
            <c:dLbl>
              <c:idx val="1"/>
              <c:layout>
                <c:manualLayout>
                  <c:x val="8.3416946418000525E-3"/>
                  <c:y val="-1.794164119994967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B2-4D30-9432-E0721CE23CF6}"/>
                </c:ext>
              </c:extLst>
            </c:dLbl>
            <c:dLbl>
              <c:idx val="2"/>
              <c:layout>
                <c:manualLayout>
                  <c:x val="4.5699805200536507E-3"/>
                  <c:y val="-1.44143053189725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B2-4D30-9432-E0721CE23CF6}"/>
                </c:ext>
              </c:extLst>
            </c:dLbl>
            <c:dLbl>
              <c:idx val="3"/>
              <c:layout>
                <c:manualLayout>
                  <c:x val="6.1203679276850475E-3"/>
                  <c:y val="-1.441430531897252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B2-4D30-9432-E0721CE23CF6}"/>
                </c:ext>
              </c:extLst>
            </c:dLbl>
            <c:dLbl>
              <c:idx val="4"/>
              <c:layout>
                <c:manualLayout>
                  <c:x val="1.1337360515490385E-3"/>
                  <c:y val="-2.16217357214416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B2-4D30-9432-E0721CE23CF6}"/>
                </c:ext>
              </c:extLst>
            </c:dLbl>
            <c:dLbl>
              <c:idx val="5"/>
              <c:layout>
                <c:manualLayout>
                  <c:x val="2.0744928555475831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2-4D30-9432-E0721CE23CF6}"/>
                </c:ext>
              </c:extLst>
            </c:dLbl>
            <c:dLbl>
              <c:idx val="6"/>
              <c:layout>
                <c:manualLayout>
                  <c:x val="1.697312336357118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B2-4D30-9432-E0721CE23CF6}"/>
                </c:ext>
              </c:extLst>
            </c:dLbl>
            <c:dLbl>
              <c:idx val="7"/>
              <c:layout>
                <c:manualLayout>
                  <c:x val="1.320131817166644E-2"/>
                  <c:y val="-2.1621615486524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B2-4D30-9432-E0721CE23CF6}"/>
                </c:ext>
              </c:extLst>
            </c:dLbl>
            <c:dLbl>
              <c:idx val="8"/>
              <c:layout>
                <c:manualLayout>
                  <c:x val="1.697312336357118E-2"/>
                  <c:y val="-1.80180129054372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B2-4D30-9432-E0721CE23C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('[2]PAPEL CARTÓN'!$Z$7,'[2]PAPEL CARTÓN'!$X$7,'[2]PAPEL CARTÓN'!$V$7,'[2]PAPEL CARTÓN'!$T$7,'[2]PAPEL CARTÓN'!$R$7,'[2]PAPEL CARTÓN'!$P$7)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('PAPEL CARTÓN'!$M$44,'PAPEL CARTÓN'!$K$44,'PAPEL CARTÓN'!$I$44,'PAPEL CARTÓN'!$G$44,'PAPEL CARTÓN'!$E$44,'PAPEL CARTÓN'!$C$44)</c:f>
              <c:numCache>
                <c:formatCode>#,##0</c:formatCode>
                <c:ptCount val="6"/>
                <c:pt idx="0">
                  <c:v>847.2</c:v>
                </c:pt>
                <c:pt idx="1">
                  <c:v>917.82</c:v>
                </c:pt>
                <c:pt idx="2">
                  <c:v>947.22</c:v>
                </c:pt>
                <c:pt idx="3">
                  <c:v>1035.4000000000001</c:v>
                </c:pt>
                <c:pt idx="4">
                  <c:v>1147.9385157547799</c:v>
                </c:pt>
                <c:pt idx="5">
                  <c:v>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CB2-4D30-9432-E0721CE23CF6}"/>
            </c:ext>
          </c:extLst>
        </c:ser>
        <c:ser>
          <c:idx val="1"/>
          <c:order val="1"/>
          <c:tx>
            <c:strRef>
              <c:f>'PAPEL CARTÓN'!$A$45:$B$45</c:f>
              <c:strCache>
                <c:ptCount val="1"/>
                <c:pt idx="0">
                  <c:v>En Puntos Limpios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0"/>
              <c:layout>
                <c:manualLayout>
                  <c:x val="4.361593803138177E-3"/>
                  <c:y val="-1.87043234305924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B2-4D30-9432-E0721CE23CF6}"/>
                </c:ext>
              </c:extLst>
            </c:dLbl>
            <c:dLbl>
              <c:idx val="1"/>
              <c:layout>
                <c:manualLayout>
                  <c:x val="5.5765115575277351E-3"/>
                  <c:y val="-1.92381454434458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B2-4D30-9432-E0721CE23CF6}"/>
                </c:ext>
              </c:extLst>
            </c:dLbl>
            <c:dLbl>
              <c:idx val="2"/>
              <c:layout>
                <c:manualLayout>
                  <c:x val="5.2409198265372858E-3"/>
                  <c:y val="-2.62928172054001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B2-4D30-9432-E0721CE23CF6}"/>
                </c:ext>
              </c:extLst>
            </c:dLbl>
            <c:dLbl>
              <c:idx val="3"/>
              <c:layout>
                <c:manualLayout>
                  <c:x val="5.9121032885181947E-3"/>
                  <c:y val="-2.69030185385109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B2-4D30-9432-E0721CE23CF6}"/>
                </c:ext>
              </c:extLst>
            </c:dLbl>
            <c:dLbl>
              <c:idx val="4"/>
              <c:layout>
                <c:manualLayout>
                  <c:x val="5.9121032885181947E-3"/>
                  <c:y val="-1.99247260968140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B2-4D30-9432-E0721CE23C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('[2]PAPEL CARTÓN'!$Z$7,'[2]PAPEL CARTÓN'!$X$7,'[2]PAPEL CARTÓN'!$V$7,'[2]PAPEL CARTÓN'!$T$7,'[2]PAPEL CARTÓN'!$R$7,'[2]PAPEL CARTÓN'!$P$7)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('PAPEL CARTÓN'!$M$45,'PAPEL CARTÓN'!$K$45,'PAPEL CARTÓN'!$I$45,'PAPEL CARTÓN'!$G$45,'PAPEL CARTÓN'!$E$45,'PAPEL CARTÓN'!$C$45)</c:f>
              <c:numCache>
                <c:formatCode>#,##0</c:formatCode>
                <c:ptCount val="6"/>
                <c:pt idx="0">
                  <c:v>98.86</c:v>
                </c:pt>
                <c:pt idx="1">
                  <c:v>106.85</c:v>
                </c:pt>
                <c:pt idx="2">
                  <c:v>101.91</c:v>
                </c:pt>
                <c:pt idx="3">
                  <c:v>114.34</c:v>
                </c:pt>
                <c:pt idx="4">
                  <c:v>124.84</c:v>
                </c:pt>
                <c:pt idx="5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CB2-4D30-9432-E0721CE23CF6}"/>
            </c:ext>
          </c:extLst>
        </c:ser>
        <c:ser>
          <c:idx val="2"/>
          <c:order val="2"/>
          <c:tx>
            <c:strRef>
              <c:f>'PAPEL CARTÓN'!$A$46:$B$46</c:f>
              <c:strCache>
                <c:ptCount val="1"/>
                <c:pt idx="0">
                  <c:v>En Comercial - Puerta a Pta.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6.3747779558349657E-3"/>
                  <c:y val="-2.18503181962481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B2-4D30-9432-E0721CE23CF6}"/>
                </c:ext>
              </c:extLst>
            </c:dLbl>
            <c:dLbl>
              <c:idx val="1"/>
              <c:layout>
                <c:manualLayout>
                  <c:x val="6.0393083025931651E-3"/>
                  <c:y val="-2.17742166189736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B2-4D30-9432-E0721CE23CF6}"/>
                </c:ext>
              </c:extLst>
            </c:dLbl>
            <c:dLbl>
              <c:idx val="2"/>
              <c:layout>
                <c:manualLayout>
                  <c:x val="8.9315743231918009E-3"/>
                  <c:y val="-1.91620438661712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B2-4D30-9432-E0721CE23CF6}"/>
                </c:ext>
              </c:extLst>
            </c:dLbl>
            <c:dLbl>
              <c:idx val="3"/>
              <c:layout>
                <c:manualLayout>
                  <c:x val="5.4954519324358353E-3"/>
                  <c:y val="-2.23083163748097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B2-4D30-9432-E0721CE23CF6}"/>
                </c:ext>
              </c:extLst>
            </c:dLbl>
            <c:dLbl>
              <c:idx val="4"/>
              <c:layout>
                <c:manualLayout>
                  <c:x val="4.6161259090366953E-3"/>
                  <c:y val="-2.591175383306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B2-4D30-9432-E0721CE23C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('[2]PAPEL CARTÓN'!$Z$7,'[2]PAPEL CARTÓN'!$X$7,'[2]PAPEL CARTÓN'!$V$7,'[2]PAPEL CARTÓN'!$T$7,'[2]PAPEL CARTÓN'!$R$7,'[2]PAPEL CARTÓN'!$P$7)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('PAPEL CARTÓN'!$M$46,'PAPEL CARTÓN'!$K$46,'PAPEL CARTÓN'!$I$46,'PAPEL CARTÓN'!$G$46,'PAPEL CARTÓN'!$E$46,'PAPEL CARTÓN'!$C$46)</c:f>
              <c:numCache>
                <c:formatCode>#,##0</c:formatCode>
                <c:ptCount val="6"/>
                <c:pt idx="0">
                  <c:v>180.1</c:v>
                </c:pt>
                <c:pt idx="1">
                  <c:v>262.92</c:v>
                </c:pt>
                <c:pt idx="2">
                  <c:v>244.04</c:v>
                </c:pt>
                <c:pt idx="3">
                  <c:v>284.66000000000003</c:v>
                </c:pt>
                <c:pt idx="4">
                  <c:v>299.88</c:v>
                </c:pt>
                <c:pt idx="5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CCB2-4D30-9432-E0721CE23CF6}"/>
            </c:ext>
          </c:extLst>
        </c:ser>
        <c:shape val="cylinder"/>
        <c:axId val="112039424"/>
        <c:axId val="112040960"/>
        <c:axId val="0"/>
      </c:bar3DChart>
      <c:catAx>
        <c:axId val="112039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anchor="t" anchorCtr="1"/>
          <a:lstStyle/>
          <a:p>
            <a:pPr>
              <a:defRPr b="1"/>
            </a:pPr>
            <a:endParaRPr lang="es-ES"/>
          </a:p>
        </c:txPr>
        <c:crossAx val="112040960"/>
        <c:crosses val="autoZero"/>
        <c:auto val="1"/>
        <c:lblAlgn val="ctr"/>
        <c:lblOffset val="100"/>
      </c:catAx>
      <c:valAx>
        <c:axId val="112040960"/>
        <c:scaling>
          <c:orientation val="minMax"/>
        </c:scaling>
        <c:delete val="1"/>
        <c:axPos val="l"/>
        <c:numFmt formatCode="#,##0" sourceLinked="1"/>
        <c:majorTickMark val="none"/>
        <c:tickLblPos val="nextTo"/>
        <c:crossAx val="112039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s-ES"/>
          </a:p>
        </c:txPr>
      </c:legendEntry>
      <c:layout>
        <c:manualLayout>
          <c:xMode val="edge"/>
          <c:yMode val="edge"/>
          <c:x val="0.24786529233318672"/>
          <c:y val="0.92563348313864025"/>
          <c:w val="0.58381469702496458"/>
          <c:h val="6.3784509218428501E-2"/>
        </c:manualLayout>
      </c:layout>
    </c:legend>
    <c:plotVisOnly val="1"/>
    <c:dispBlanksAs val="gap"/>
  </c:chart>
  <c:spPr>
    <a:scene3d>
      <a:camera prst="orthographicFront"/>
      <a:lightRig rig="threePt" dir="t"/>
    </a:scene3d>
    <a:sp3d>
      <a:bevelT w="25400" h="63500"/>
    </a:sp3d>
  </c:spPr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RECOGIDA</a:t>
            </a:r>
            <a:r>
              <a:rPr lang="es-ES" baseline="0"/>
              <a:t> PAPEL CARTÓN CONTENEDORES (Tn)</a:t>
            </a:r>
            <a:endParaRPr lang="es-ES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'PAPEL CARTÓN'!$B$20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 cmpd="sng" algn="ctr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gradFill>
                <a:gsLst>
                  <a:gs pos="100000">
                    <a:schemeClr val="lt1">
                      <a:lumMod val="95000"/>
                    </a:schemeClr>
                  </a:gs>
                  <a:gs pos="0">
                    <a:schemeClr val="lt1"/>
                  </a:gs>
                </a:gsLst>
                <a:lin ang="5400000" scaled="0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'PAPEL CARTÓN'!$A$21:$A$32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CARTÓN'!$B$21:$B$32</c:f>
              <c:numCache>
                <c:formatCode>#,##0.0</c:formatCode>
                <c:ptCount val="12"/>
                <c:pt idx="0">
                  <c:v>106.6</c:v>
                </c:pt>
                <c:pt idx="1">
                  <c:v>91.34</c:v>
                </c:pt>
                <c:pt idx="2">
                  <c:v>93.22</c:v>
                </c:pt>
                <c:pt idx="3">
                  <c:v>96.12</c:v>
                </c:pt>
                <c:pt idx="4">
                  <c:v>100.44</c:v>
                </c:pt>
                <c:pt idx="5">
                  <c:v>94.02</c:v>
                </c:pt>
                <c:pt idx="6">
                  <c:v>110.4</c:v>
                </c:pt>
                <c:pt idx="7">
                  <c:v>107.48</c:v>
                </c:pt>
                <c:pt idx="8">
                  <c:v>101.3</c:v>
                </c:pt>
                <c:pt idx="9">
                  <c:v>105.42</c:v>
                </c:pt>
                <c:pt idx="10">
                  <c:v>101.46</c:v>
                </c:pt>
                <c:pt idx="11">
                  <c:v>110.46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9-492D-938C-1E1808D6D2F2}"/>
            </c:ext>
          </c:extLst>
        </c:ser>
        <c:ser>
          <c:idx val="1"/>
          <c:order val="1"/>
          <c:tx>
            <c:strRef>
              <c:f>'PAPEL CARTÓN'!$C$20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gradFill>
                <a:gsLst>
                  <a:gs pos="100000">
                    <a:schemeClr val="lt1">
                      <a:lumMod val="95000"/>
                    </a:schemeClr>
                  </a:gs>
                  <a:gs pos="0">
                    <a:schemeClr val="lt1"/>
                  </a:gs>
                </a:gsLst>
                <a:lin ang="5400000" scaled="0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'PAPEL CARTÓN'!$A$21:$A$32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CARTÓN'!$C$21:$C$32</c:f>
              <c:numCache>
                <c:formatCode>#,##0.00</c:formatCode>
                <c:ptCount val="12"/>
                <c:pt idx="0">
                  <c:v>112.72</c:v>
                </c:pt>
                <c:pt idx="1">
                  <c:v>90.24</c:v>
                </c:pt>
                <c:pt idx="2">
                  <c:v>91.44</c:v>
                </c:pt>
                <c:pt idx="3">
                  <c:v>72.52</c:v>
                </c:pt>
                <c:pt idx="4">
                  <c:v>83.42</c:v>
                </c:pt>
                <c:pt idx="5">
                  <c:v>93.14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9-492D-938C-1E1808D6D2F2}"/>
            </c:ext>
          </c:extLst>
        </c:ser>
        <c:dLbls>
          <c:showVal val="1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axId val="111986944"/>
        <c:axId val="111996928"/>
      </c:lineChart>
      <c:catAx>
        <c:axId val="111986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96928"/>
        <c:crosses val="autoZero"/>
        <c:auto val="1"/>
        <c:lblAlgn val="ctr"/>
        <c:lblOffset val="100"/>
      </c:catAx>
      <c:valAx>
        <c:axId val="111996928"/>
        <c:scaling>
          <c:orientation val="minMax"/>
        </c:scaling>
        <c:axPos val="l"/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9869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RECOGIDA</a:t>
            </a:r>
            <a:r>
              <a:rPr lang="es-ES" baseline="0"/>
              <a:t> PUERTA A PUERTA COMERCIAL</a:t>
            </a:r>
            <a:endParaRPr lang="es-ES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'PAPEL CARTÓN'!$G$20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'PAPEL CARTÓN'!$F$21:$F$32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CARTÓN'!$G$21:$G$32</c:f>
              <c:numCache>
                <c:formatCode>#,##0.0</c:formatCode>
                <c:ptCount val="12"/>
                <c:pt idx="0">
                  <c:v>24.64</c:v>
                </c:pt>
                <c:pt idx="1">
                  <c:v>20.84</c:v>
                </c:pt>
                <c:pt idx="2">
                  <c:v>24.36</c:v>
                </c:pt>
                <c:pt idx="3">
                  <c:v>24.76</c:v>
                </c:pt>
                <c:pt idx="4">
                  <c:v>24.14</c:v>
                </c:pt>
                <c:pt idx="5">
                  <c:v>21.96</c:v>
                </c:pt>
                <c:pt idx="6">
                  <c:v>22.2</c:v>
                </c:pt>
                <c:pt idx="7">
                  <c:v>23.74</c:v>
                </c:pt>
                <c:pt idx="8">
                  <c:v>23.24</c:v>
                </c:pt>
                <c:pt idx="9">
                  <c:v>29.26</c:v>
                </c:pt>
                <c:pt idx="10">
                  <c:v>25.64</c:v>
                </c:pt>
                <c:pt idx="11">
                  <c:v>28.78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D7-49B7-BF11-6441A54C95D7}"/>
            </c:ext>
          </c:extLst>
        </c:ser>
        <c:ser>
          <c:idx val="1"/>
          <c:order val="1"/>
          <c:tx>
            <c:strRef>
              <c:f>'PAPEL CARTÓN'!$H$20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'PAPEL CARTÓN'!$F$21:$F$32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CARTÓN'!$H$21:$H$32</c:f>
              <c:numCache>
                <c:formatCode>#,##0.0</c:formatCode>
                <c:ptCount val="12"/>
                <c:pt idx="0">
                  <c:v>25.9</c:v>
                </c:pt>
                <c:pt idx="1">
                  <c:v>21.38</c:v>
                </c:pt>
                <c:pt idx="2">
                  <c:v>15.38</c:v>
                </c:pt>
                <c:pt idx="3">
                  <c:v>3.3</c:v>
                </c:pt>
                <c:pt idx="4">
                  <c:v>9.36</c:v>
                </c:pt>
                <c:pt idx="5">
                  <c:v>15.36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D7-49B7-BF11-6441A54C95D7}"/>
            </c:ext>
          </c:extLst>
        </c:ser>
        <c:marker val="1"/>
        <c:axId val="112091136"/>
        <c:axId val="112093056"/>
      </c:lineChart>
      <c:catAx>
        <c:axId val="112091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093056"/>
        <c:crosses val="autoZero"/>
        <c:auto val="1"/>
        <c:lblAlgn val="ctr"/>
        <c:lblOffset val="100"/>
      </c:catAx>
      <c:valAx>
        <c:axId val="112093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09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RECOGIDA</a:t>
            </a:r>
            <a:r>
              <a:rPr lang="es-ES" baseline="0"/>
              <a:t> PAPEL CARTÓN EN PUNTOS LIMPIOS </a:t>
            </a:r>
            <a:endParaRPr lang="es-ES"/>
          </a:p>
        </c:rich>
      </c:tx>
      <c:layout>
        <c:manualLayout>
          <c:xMode val="edge"/>
          <c:yMode val="edge"/>
          <c:x val="0.13796522309711301"/>
          <c:y val="2.7777777777777821E-2"/>
        </c:manualLayout>
      </c:layout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'PAPEL CARTÓN'!$L$20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'PAPEL CARTÓN'!$K$21:$K$32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CARTÓN'!$L$21:$L$32</c:f>
              <c:numCache>
                <c:formatCode>#,##0.0</c:formatCode>
                <c:ptCount val="12"/>
                <c:pt idx="0">
                  <c:v>11.14</c:v>
                </c:pt>
                <c:pt idx="1">
                  <c:v>8.76</c:v>
                </c:pt>
                <c:pt idx="2">
                  <c:v>9.68</c:v>
                </c:pt>
                <c:pt idx="3">
                  <c:v>12.42</c:v>
                </c:pt>
                <c:pt idx="4">
                  <c:v>12.18</c:v>
                </c:pt>
                <c:pt idx="5">
                  <c:v>8.94</c:v>
                </c:pt>
                <c:pt idx="6">
                  <c:v>13.84</c:v>
                </c:pt>
                <c:pt idx="7">
                  <c:v>17.84</c:v>
                </c:pt>
                <c:pt idx="8">
                  <c:v>13.34</c:v>
                </c:pt>
                <c:pt idx="9">
                  <c:v>13.36</c:v>
                </c:pt>
                <c:pt idx="10">
                  <c:v>12.22</c:v>
                </c:pt>
                <c:pt idx="11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D3-43F4-80CA-64B9D7E21889}"/>
            </c:ext>
          </c:extLst>
        </c:ser>
        <c:ser>
          <c:idx val="1"/>
          <c:order val="1"/>
          <c:tx>
            <c:strRef>
              <c:f>'PAPEL CARTÓN'!$M$20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'PAPEL CARTÓN'!$K$21:$K$32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'PAPEL CARTÓN'!$M$21:$M$32</c:f>
              <c:numCache>
                <c:formatCode>#,##0.0</c:formatCode>
                <c:ptCount val="12"/>
                <c:pt idx="0">
                  <c:v>12.04</c:v>
                </c:pt>
                <c:pt idx="1">
                  <c:v>13.82</c:v>
                </c:pt>
                <c:pt idx="2">
                  <c:v>5.8</c:v>
                </c:pt>
                <c:pt idx="3">
                  <c:v>0</c:v>
                </c:pt>
                <c:pt idx="4">
                  <c:v>6.26</c:v>
                </c:pt>
                <c:pt idx="5">
                  <c:v>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D3-43F4-80CA-64B9D7E21889}"/>
            </c:ext>
          </c:extLst>
        </c:ser>
        <c:marker val="1"/>
        <c:axId val="112215936"/>
        <c:axId val="112226304"/>
      </c:lineChart>
      <c:catAx>
        <c:axId val="112215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226304"/>
        <c:crosses val="autoZero"/>
        <c:auto val="1"/>
        <c:lblAlgn val="ctr"/>
        <c:lblOffset val="100"/>
      </c:catAx>
      <c:valAx>
        <c:axId val="112226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21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EVOLUCIÓN RECOGIDA DE VIDRIO LA</a:t>
            </a:r>
            <a:r>
              <a:rPr lang="en-US" baseline="0"/>
              <a:t> PALMA</a:t>
            </a:r>
            <a:r>
              <a:rPr lang="en-US"/>
              <a:t>  (Tn)</a:t>
            </a:r>
          </a:p>
        </c:rich>
      </c:tx>
      <c:layout>
        <c:manualLayout>
          <c:xMode val="edge"/>
          <c:yMode val="edge"/>
          <c:x val="0.15811568806124787"/>
          <c:y val="5.8447471772920083E-2"/>
        </c:manualLayout>
      </c:layout>
    </c:title>
    <c:view3D>
      <c:rotY val="80"/>
      <c:depthPercent val="130"/>
      <c:rAngAx val="1"/>
    </c:view3D>
    <c:floor>
      <c:spPr>
        <a:solidFill>
          <a:sysClr val="window" lastClr="FFFFFF">
            <a:alpha val="0"/>
          </a:sysClr>
        </a:solidFill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498207949521239E-2"/>
          <c:y val="0.17477524154035093"/>
          <c:w val="0.69193999859810018"/>
          <c:h val="0.72764053424210906"/>
        </c:manualLayout>
      </c:layout>
      <c:bar3DChart>
        <c:barDir val="col"/>
        <c:grouping val="clustered"/>
        <c:ser>
          <c:idx val="0"/>
          <c:order val="0"/>
          <c:tx>
            <c:strRef>
              <c:f>[4]Hoja1!$A$21</c:f>
              <c:strCache>
                <c:ptCount val="1"/>
                <c:pt idx="0">
                  <c:v>REGODIDA EN CONTENEDORES 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[4]Hoja1!$B$5:$K$5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[4]Hoja1!$B$21:$K$21</c:f>
              <c:numCache>
                <c:formatCode>General</c:formatCode>
                <c:ptCount val="10"/>
                <c:pt idx="0">
                  <c:v>1602.22</c:v>
                </c:pt>
                <c:pt idx="1">
                  <c:v>1433.24</c:v>
                </c:pt>
                <c:pt idx="2">
                  <c:v>1649.4359999999999</c:v>
                </c:pt>
                <c:pt idx="3">
                  <c:v>1460.62</c:v>
                </c:pt>
                <c:pt idx="4">
                  <c:v>1453.8510000000001</c:v>
                </c:pt>
                <c:pt idx="5">
                  <c:v>1522.8320000000001</c:v>
                </c:pt>
                <c:pt idx="6">
                  <c:v>1669.15</c:v>
                </c:pt>
                <c:pt idx="7">
                  <c:v>1790.72</c:v>
                </c:pt>
                <c:pt idx="8">
                  <c:v>1880.78</c:v>
                </c:pt>
                <c:pt idx="9">
                  <c:v>1872.7200000000003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scene3d>
                    <a:camera prst="orthographicFront"/>
                    <a:lightRig rig="threePt" dir="t"/>
                  </a:scene3d>
                  <a:sp3d>
                    <a:bevelT w="0" h="0"/>
                  </a:sp3d>
                </c14:spPr>
              </c14:invertSolidFillFmt>
            </c:ext>
            <c:ext xmlns:c16="http://schemas.microsoft.com/office/drawing/2014/chart" uri="{C3380CC4-5D6E-409C-BE32-E72D297353CC}">
              <c16:uniqueId val="{00000000-0E7C-4C81-9E0A-F00A0C2C4A51}"/>
            </c:ext>
          </c:extLst>
        </c:ser>
        <c:ser>
          <c:idx val="1"/>
          <c:order val="1"/>
          <c:tx>
            <c:strRef>
              <c:f>[4]Hoja1!$A$22</c:f>
              <c:strCache>
                <c:ptCount val="1"/>
                <c:pt idx="0">
                  <c:v>RECUPERADO EN COMPLEJO AMBIEMTAL LOS MORENOS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[4]Hoja1!$B$5:$K$5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[4]Hoja1!$B$22:$K$22</c:f>
              <c:numCache>
                <c:formatCode>General</c:formatCode>
                <c:ptCount val="10"/>
                <c:pt idx="4">
                  <c:v>147</c:v>
                </c:pt>
                <c:pt idx="5">
                  <c:v>123</c:v>
                </c:pt>
                <c:pt idx="6">
                  <c:v>125</c:v>
                </c:pt>
                <c:pt idx="7">
                  <c:v>142</c:v>
                </c:pt>
                <c:pt idx="8">
                  <c:v>128</c:v>
                </c:pt>
                <c:pt idx="9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7C-4C81-9E0A-F00A0C2C4A51}"/>
            </c:ext>
          </c:extLst>
        </c:ser>
        <c:shape val="cylinder"/>
        <c:axId val="112166784"/>
        <c:axId val="112168320"/>
        <c:axId val="0"/>
      </c:bar3DChart>
      <c:catAx>
        <c:axId val="112166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12168320"/>
        <c:crosses val="autoZero"/>
        <c:auto val="1"/>
        <c:lblAlgn val="ctr"/>
        <c:lblOffset val="100"/>
      </c:catAx>
      <c:valAx>
        <c:axId val="11216832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21667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aseline="0"/>
            </a:pPr>
            <a:endParaRPr lang="es-ES"/>
          </a:p>
        </c:txPr>
      </c:legendEntry>
      <c:layout>
        <c:manualLayout>
          <c:xMode val="edge"/>
          <c:yMode val="edge"/>
          <c:x val="0.73759932085640634"/>
          <c:y val="0.43115192718457546"/>
          <c:w val="0.26240074471465574"/>
          <c:h val="0.22038953859287724"/>
        </c:manualLayout>
      </c:layout>
    </c:legend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0"/>
              <a:t>RECOGIDA</a:t>
            </a:r>
            <a:r>
              <a:rPr lang="es-ES" b="0" baseline="0"/>
              <a:t> VIDRIO </a:t>
            </a:r>
            <a:endParaRPr lang="es-ES" b="0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VIDRIO!$B$6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gradFill>
                <a:gsLst>
                  <a:gs pos="100000">
                    <a:schemeClr val="lt1">
                      <a:lumMod val="95000"/>
                    </a:schemeClr>
                  </a:gs>
                  <a:gs pos="0">
                    <a:schemeClr val="lt1">
                      <a:alpha val="50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VIDRIO!$A$7:$A$18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VIDRIO!$B$7:$B$18</c:f>
              <c:numCache>
                <c:formatCode>#,##0.00</c:formatCode>
                <c:ptCount val="12"/>
                <c:pt idx="0">
                  <c:v>193.84</c:v>
                </c:pt>
                <c:pt idx="1">
                  <c:v>128.34</c:v>
                </c:pt>
                <c:pt idx="2">
                  <c:v>165.54</c:v>
                </c:pt>
                <c:pt idx="3">
                  <c:v>189.84</c:v>
                </c:pt>
                <c:pt idx="4">
                  <c:v>128.19999999999999</c:v>
                </c:pt>
                <c:pt idx="5">
                  <c:v>113.6</c:v>
                </c:pt>
                <c:pt idx="6">
                  <c:v>128.56</c:v>
                </c:pt>
                <c:pt idx="7">
                  <c:v>202.38</c:v>
                </c:pt>
                <c:pt idx="8">
                  <c:v>143.91999999999999</c:v>
                </c:pt>
                <c:pt idx="9">
                  <c:v>159.96</c:v>
                </c:pt>
                <c:pt idx="10">
                  <c:v>122.86</c:v>
                </c:pt>
                <c:pt idx="11">
                  <c:v>195.68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C-4532-AA3E-70B91FD09506}"/>
            </c:ext>
          </c:extLst>
        </c:ser>
        <c:ser>
          <c:idx val="1"/>
          <c:order val="1"/>
          <c:tx>
            <c:strRef>
              <c:f>VIDRIO!$C$6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VIDRIO!$A$7:$A$18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VIDRIO!$C$7:$C$18</c:f>
              <c:numCache>
                <c:formatCode>#,##0.00</c:formatCode>
                <c:ptCount val="12"/>
                <c:pt idx="0">
                  <c:v>214.28</c:v>
                </c:pt>
                <c:pt idx="1">
                  <c:v>166.08</c:v>
                </c:pt>
                <c:pt idx="2">
                  <c:v>199.3</c:v>
                </c:pt>
                <c:pt idx="3">
                  <c:v>89.12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CC-4532-AA3E-70B91FD09506}"/>
            </c:ext>
          </c:extLst>
        </c:ser>
        <c:dLbls>
          <c:showVal val="1"/>
        </c:dLbls>
        <c:marker val="1"/>
        <c:axId val="112305664"/>
        <c:axId val="112307200"/>
      </c:lineChart>
      <c:catAx>
        <c:axId val="112305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307200"/>
        <c:crosses val="autoZero"/>
        <c:auto val="1"/>
        <c:lblAlgn val="ctr"/>
        <c:lblOffset val="100"/>
      </c:catAx>
      <c:valAx>
        <c:axId val="112307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tickLblPos val="nextTo"/>
        <c:crossAx val="11230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71</xdr:row>
      <xdr:rowOff>85725</xdr:rowOff>
    </xdr:from>
    <xdr:to>
      <xdr:col>8</xdr:col>
      <xdr:colOff>361951</xdr:colOff>
      <xdr:row>89</xdr:row>
      <xdr:rowOff>180976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0.02405</cdr:x>
      <cdr:y>0.05135</cdr:y>
    </cdr:from>
    <cdr:to>
      <cdr:x>0.18248</cdr:x>
      <cdr:y>0.38653</cdr:y>
    </cdr:to>
    <cdr:pic>
      <cdr:nvPicPr>
        <cdr:cNvPr id="2" name="1 Imagen" descr="ESCUDO CAB.PNG">
          <a:extLst xmlns:a="http://schemas.openxmlformats.org/drawingml/2006/main">
            <a:ext uri="{FF2B5EF4-FFF2-40B4-BE49-F238E27FC236}">
              <a16:creationId xmlns="" xmlns:a16="http://schemas.microsoft.com/office/drawing/2014/main" id="{B05567FA-A321-43F9-959E-7F8BA70E343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1925" y="180975"/>
          <a:ext cx="1066949" cy="11812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72</xdr:row>
      <xdr:rowOff>31750</xdr:rowOff>
    </xdr:from>
    <xdr:to>
      <xdr:col>10</xdr:col>
      <xdr:colOff>445560</xdr:colOff>
      <xdr:row>91</xdr:row>
      <xdr:rowOff>12701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826CBA0-44DE-4293-A67B-9D2E4D674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199179</xdr:colOff>
      <xdr:row>105</xdr:row>
      <xdr:rowOff>60327</xdr:rowOff>
    </xdr:from>
    <xdr:to>
      <xdr:col>5</xdr:col>
      <xdr:colOff>63499</xdr:colOff>
      <xdr:row>119</xdr:row>
      <xdr:rowOff>137797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0FBFE8B-A368-4D59-BD62-262D90704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569382</xdr:colOff>
      <xdr:row>105</xdr:row>
      <xdr:rowOff>98850</xdr:rowOff>
    </xdr:from>
    <xdr:to>
      <xdr:col>12</xdr:col>
      <xdr:colOff>529166</xdr:colOff>
      <xdr:row>119</xdr:row>
      <xdr:rowOff>176320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56AD82D-EB55-4AC0-AD5B-4B8AA5A4D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28469</xdr:colOff>
      <xdr:row>121</xdr:row>
      <xdr:rowOff>122766</xdr:rowOff>
    </xdr:from>
    <xdr:to>
      <xdr:col>9</xdr:col>
      <xdr:colOff>314219</xdr:colOff>
      <xdr:row>136</xdr:row>
      <xdr:rowOff>126999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CC4F605-51C8-4A7F-B707-A24A4752A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391584</xdr:colOff>
      <xdr:row>27</xdr:row>
      <xdr:rowOff>148168</xdr:rowOff>
    </xdr:from>
    <xdr:to>
      <xdr:col>13</xdr:col>
      <xdr:colOff>709083</xdr:colOff>
      <xdr:row>30</xdr:row>
      <xdr:rowOff>10584</xdr:rowOff>
    </xdr:to>
    <xdr:sp macro="" textlink="">
      <xdr:nvSpPr>
        <xdr:cNvPr id="7" name="6 Rectángulo"/>
        <xdr:cNvSpPr/>
      </xdr:nvSpPr>
      <xdr:spPr>
        <a:xfrm>
          <a:off x="8403167" y="5386918"/>
          <a:ext cx="973666" cy="43391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%acumulado 1T</a:t>
          </a:r>
          <a:r>
            <a:rPr lang="es-ES" sz="1100" baseline="0"/>
            <a:t> -24,62</a:t>
          </a:r>
          <a:endParaRPr lang="es-E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0.01705</cdr:x>
      <cdr:y>0.01323</cdr:y>
    </cdr:from>
    <cdr:to>
      <cdr:x>0.16761</cdr:x>
      <cdr:y>0.3716</cdr:y>
    </cdr:to>
    <cdr:pic>
      <cdr:nvPicPr>
        <cdr:cNvPr id="2" name="1 Imagen" descr="ESCUDO CAB.PNG">
          <a:extLst xmlns:a="http://schemas.openxmlformats.org/drawingml/2006/main">
            <a:ext uri="{FF2B5EF4-FFF2-40B4-BE49-F238E27FC236}">
              <a16:creationId xmlns="" xmlns:a16="http://schemas.microsoft.com/office/drawing/2014/main" id="{05480ED5-8BF8-4BBD-92E2-DD5D323FDB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4301" y="47625"/>
          <a:ext cx="1009650" cy="129031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548899</xdr:colOff>
      <xdr:row>27</xdr:row>
      <xdr:rowOff>129153</xdr:rowOff>
    </xdr:from>
    <xdr:to>
      <xdr:col>25</xdr:col>
      <xdr:colOff>98305</xdr:colOff>
      <xdr:row>33</xdr:row>
      <xdr:rowOff>141927</xdr:rowOff>
    </xdr:to>
    <xdr:pic>
      <xdr:nvPicPr>
        <xdr:cNvPr id="5" name="4 Imagen" descr="ESCUDO CAB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84958" y="5456695"/>
          <a:ext cx="1066949" cy="1181265"/>
        </a:xfrm>
        <a:prstGeom prst="rect">
          <a:avLst/>
        </a:prstGeom>
      </xdr:spPr>
    </xdr:pic>
    <xdr:clientData/>
  </xdr:twoCellAnchor>
  <xdr:twoCellAnchor>
    <xdr:from>
      <xdr:col>0</xdr:col>
      <xdr:colOff>982578</xdr:colOff>
      <xdr:row>66</xdr:row>
      <xdr:rowOff>140368</xdr:rowOff>
    </xdr:from>
    <xdr:to>
      <xdr:col>9</xdr:col>
      <xdr:colOff>230604</xdr:colOff>
      <xdr:row>84</xdr:row>
      <xdr:rowOff>60158</xdr:rowOff>
    </xdr:to>
    <xdr:graphicFrame macro="">
      <xdr:nvGraphicFramePr>
        <xdr:cNvPr id="6" name="12 Gráfico">
          <a:extLst>
            <a:ext uri="{FF2B5EF4-FFF2-40B4-BE49-F238E27FC236}">
              <a16:creationId xmlns="" xmlns:a16="http://schemas.microsoft.com/office/drawing/2014/main" id="{F92630CA-765C-4F60-9C95-C018035FC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384006</xdr:colOff>
      <xdr:row>3</xdr:row>
      <xdr:rowOff>85224</xdr:rowOff>
    </xdr:from>
    <xdr:to>
      <xdr:col>13</xdr:col>
      <xdr:colOff>156410</xdr:colOff>
      <xdr:row>19</xdr:row>
      <xdr:rowOff>120316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82EBBE1-7E58-4D68-9970-BEB89C98C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0.02226</cdr:x>
      <cdr:y>0.02466</cdr:y>
    </cdr:from>
    <cdr:to>
      <cdr:x>0.13353</cdr:x>
      <cdr:y>0.25215</cdr:y>
    </cdr:to>
    <cdr:pic>
      <cdr:nvPicPr>
        <cdr:cNvPr id="2" name="1 Imagen" descr="ESCUDO CAB.PNG">
          <a:extLst xmlns:a="http://schemas.openxmlformats.org/drawingml/2006/main">
            <a:ext uri="{FF2B5EF4-FFF2-40B4-BE49-F238E27FC236}">
              <a16:creationId xmlns="" xmlns:a16="http://schemas.microsoft.com/office/drawing/2014/main" id="{8B2F23B4-6660-42D3-B0D0-614C73F49B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175" y="89195"/>
          <a:ext cx="755671" cy="82283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-c/RESIDUOS/ESTADISTICAS/GRAFICAS/GR&#193;FICAS%20ENVASES%20%20Y%20PAPEL%20CART&#211;N%20201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Pc/Downloads/GR&#193;FICAS%20ENVASES%20%20Y%20PAPEL%20CART&#211;N%202010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garcia/Desktop/trabajo/DATOS%20CABILDO%20RESIDUOS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Pc/Downloads/VIDRIO%202010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VASES"/>
      <sheetName val="PAPEL CARTÓN"/>
      <sheetName val="Hoja2"/>
      <sheetName val="Hoja3"/>
    </sheetNames>
    <sheetDataSet>
      <sheetData sheetId="0">
        <row r="21">
          <cell r="A21" t="str">
            <v>Tn EN CONTENEDOR DE ENVASE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VASES"/>
      <sheetName val="PAPEL CARTÓN"/>
      <sheetName val="Hoja2"/>
      <sheetName val="Hoja3"/>
    </sheetNames>
    <sheetDataSet>
      <sheetData sheetId="0"/>
      <sheetData sheetId="1">
        <row r="7">
          <cell r="P7">
            <v>2019</v>
          </cell>
          <cell r="R7">
            <v>2018</v>
          </cell>
          <cell r="T7">
            <v>2017</v>
          </cell>
          <cell r="V7">
            <v>2016</v>
          </cell>
          <cell r="X7">
            <v>2015</v>
          </cell>
          <cell r="Z7">
            <v>2014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POR LINEAS MENSUALES CAM"/>
      <sheetName val=" CAM DESGLOSE POR LINEAS 2019"/>
      <sheetName val="CAM ENTRADAS BÁSCULA "/>
      <sheetName val="ENTRADAS PUNTOS LIMPIOS "/>
      <sheetName val="VISITAS  LIMPIOS "/>
      <sheetName val="RESUMEN RECOGIDAS SEPARADAS "/>
      <sheetName val="Vidrio"/>
      <sheetName val="Envases"/>
      <sheetName val="PyC Conts."/>
      <sheetName val="PyC PLimpios"/>
      <sheetName val="PyC PtaPta"/>
      <sheetName val="Padro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2">
          <cell r="D102">
            <v>193840</v>
          </cell>
          <cell r="E102">
            <v>128340</v>
          </cell>
          <cell r="F102">
            <v>165540</v>
          </cell>
          <cell r="G102">
            <v>189840</v>
          </cell>
          <cell r="H102">
            <v>128200</v>
          </cell>
          <cell r="I102">
            <v>113600</v>
          </cell>
          <cell r="J102">
            <v>128560</v>
          </cell>
          <cell r="K102">
            <v>202380</v>
          </cell>
          <cell r="L102">
            <v>143920</v>
          </cell>
          <cell r="M102">
            <v>159960</v>
          </cell>
          <cell r="N102">
            <v>122860</v>
          </cell>
          <cell r="O102">
            <v>195680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B5">
            <v>2010</v>
          </cell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  <cell r="H5">
            <v>2016</v>
          </cell>
          <cell r="I5">
            <v>2017</v>
          </cell>
          <cell r="J5">
            <v>2018</v>
          </cell>
          <cell r="K5">
            <v>2019</v>
          </cell>
        </row>
        <row r="21">
          <cell r="A21" t="str">
            <v xml:space="preserve">REGODIDA EN CONTENEDORES </v>
          </cell>
          <cell r="B21">
            <v>1602.22</v>
          </cell>
          <cell r="C21">
            <v>1433.24</v>
          </cell>
          <cell r="D21">
            <v>1649.4359999999999</v>
          </cell>
          <cell r="E21">
            <v>1460.62</v>
          </cell>
          <cell r="F21">
            <v>1453.8510000000001</v>
          </cell>
          <cell r="G21">
            <v>1522.8320000000001</v>
          </cell>
          <cell r="H21">
            <v>1669.15</v>
          </cell>
          <cell r="I21">
            <v>1790.72</v>
          </cell>
          <cell r="J21">
            <v>1880.78</v>
          </cell>
          <cell r="K21">
            <v>1872.7200000000003</v>
          </cell>
        </row>
        <row r="22">
          <cell r="A22" t="str">
            <v>RECUPERADO EN COMPLEJO AMBIEMTAL LOS MORENOS</v>
          </cell>
          <cell r="F22">
            <v>147</v>
          </cell>
          <cell r="G22">
            <v>123</v>
          </cell>
          <cell r="H22">
            <v>125</v>
          </cell>
          <cell r="I22">
            <v>142</v>
          </cell>
          <cell r="J22">
            <v>128</v>
          </cell>
          <cell r="K22">
            <v>131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opLeftCell="A34" workbookViewId="0">
      <selection activeCell="A21" sqref="A21:O21"/>
    </sheetView>
  </sheetViews>
  <sheetFormatPr baseColWidth="10" defaultRowHeight="15"/>
  <cols>
    <col min="3" max="3" width="11.140625" customWidth="1"/>
    <col min="4" max="4" width="8.28515625" customWidth="1"/>
    <col min="5" max="5" width="10.42578125" customWidth="1"/>
    <col min="6" max="6" width="11" customWidth="1"/>
    <col min="7" max="7" width="10.42578125" customWidth="1"/>
    <col min="8" max="8" width="8.140625" customWidth="1"/>
    <col min="10" max="10" width="8.42578125" customWidth="1"/>
    <col min="11" max="11" width="10.85546875" customWidth="1"/>
    <col min="12" max="12" width="7.7109375" customWidth="1"/>
    <col min="13" max="13" width="7.85546875" customWidth="1"/>
    <col min="14" max="14" width="7.28515625" customWidth="1"/>
    <col min="15" max="15" width="8.7109375" customWidth="1"/>
  </cols>
  <sheetData>
    <row r="1" spans="1:5" ht="19.5">
      <c r="A1" s="28" t="s">
        <v>23</v>
      </c>
      <c r="B1" s="12"/>
    </row>
    <row r="3" spans="1:5" ht="15.75" customHeight="1" thickBot="1">
      <c r="E3" s="14"/>
    </row>
    <row r="4" spans="1:5" ht="15.75" thickBot="1">
      <c r="B4" s="187" t="s">
        <v>17</v>
      </c>
      <c r="C4" s="188"/>
      <c r="D4" s="189"/>
      <c r="E4" s="6"/>
    </row>
    <row r="5" spans="1:5">
      <c r="B5" s="184" t="s">
        <v>24</v>
      </c>
      <c r="C5" s="185"/>
      <c r="D5" s="186"/>
      <c r="E5" s="141" t="s">
        <v>78</v>
      </c>
    </row>
    <row r="6" spans="1:5" ht="15.75" thickBot="1">
      <c r="B6" s="7">
        <v>2019</v>
      </c>
      <c r="C6" s="8">
        <v>2020</v>
      </c>
      <c r="D6" s="9" t="s">
        <v>3</v>
      </c>
      <c r="E6" s="13"/>
    </row>
    <row r="7" spans="1:5">
      <c r="A7" s="17" t="s">
        <v>0</v>
      </c>
      <c r="B7" s="25">
        <f>B24+G24</f>
        <v>71900</v>
      </c>
      <c r="C7" s="15">
        <v>82060</v>
      </c>
      <c r="D7" s="16">
        <f>(C7-B7)/B7</f>
        <v>0.14130737134909596</v>
      </c>
      <c r="E7" s="13"/>
    </row>
    <row r="8" spans="1:5">
      <c r="A8" s="18" t="s">
        <v>1</v>
      </c>
      <c r="B8" s="26">
        <f>B25+G25</f>
        <v>65740</v>
      </c>
      <c r="C8" s="2">
        <v>80340</v>
      </c>
      <c r="D8" s="1">
        <f>(C8-B8)/B8</f>
        <v>0.22208700943109219</v>
      </c>
      <c r="E8" s="13"/>
    </row>
    <row r="9" spans="1:5">
      <c r="A9" s="18" t="s">
        <v>2</v>
      </c>
      <c r="B9" s="26">
        <f t="shared" ref="B9:B18" si="0">B26+G26</f>
        <v>71120</v>
      </c>
      <c r="C9" s="2">
        <v>82020</v>
      </c>
      <c r="D9" s="1">
        <f>(C9-B9)/B9</f>
        <v>0.1532620922384702</v>
      </c>
      <c r="E9" s="32" t="s">
        <v>25</v>
      </c>
    </row>
    <row r="10" spans="1:5" ht="15" customHeight="1">
      <c r="A10" s="18" t="s">
        <v>5</v>
      </c>
      <c r="B10" s="26">
        <f t="shared" si="0"/>
        <v>78920</v>
      </c>
      <c r="C10" s="2">
        <v>73460</v>
      </c>
      <c r="D10" s="1">
        <f t="shared" ref="D10:D11" si="1">(C10-B10)/B10</f>
        <v>-6.9183983781044095E-2</v>
      </c>
      <c r="E10" s="29">
        <f>((C7+C8+C9)-(B7+B8+B9))*100/(B7+B8+B9)</f>
        <v>17.081816439931021</v>
      </c>
    </row>
    <row r="11" spans="1:5">
      <c r="A11" s="18" t="s">
        <v>6</v>
      </c>
      <c r="B11" s="26">
        <f t="shared" si="0"/>
        <v>70280</v>
      </c>
      <c r="C11" s="2">
        <f>C28+H28</f>
        <v>72180</v>
      </c>
      <c r="D11" s="1">
        <f t="shared" si="1"/>
        <v>2.7034718269778029E-2</v>
      </c>
    </row>
    <row r="12" spans="1:5">
      <c r="A12" s="18" t="s">
        <v>7</v>
      </c>
      <c r="B12" s="26">
        <f t="shared" si="0"/>
        <v>67280</v>
      </c>
      <c r="C12" s="2">
        <f>C29+H29</f>
        <v>80140</v>
      </c>
      <c r="D12" s="1"/>
    </row>
    <row r="13" spans="1:5">
      <c r="A13" s="18" t="s">
        <v>8</v>
      </c>
      <c r="B13" s="26">
        <f t="shared" si="0"/>
        <v>83160</v>
      </c>
      <c r="C13" s="2"/>
      <c r="D13" s="1"/>
    </row>
    <row r="14" spans="1:5">
      <c r="A14" s="18" t="s">
        <v>9</v>
      </c>
      <c r="B14" s="26">
        <f t="shared" si="0"/>
        <v>84200</v>
      </c>
      <c r="C14" s="2"/>
      <c r="D14" s="1"/>
    </row>
    <row r="15" spans="1:5">
      <c r="A15" s="18" t="s">
        <v>10</v>
      </c>
      <c r="B15" s="26">
        <f t="shared" si="0"/>
        <v>77460</v>
      </c>
      <c r="C15" s="2"/>
      <c r="D15" s="1"/>
    </row>
    <row r="16" spans="1:5">
      <c r="A16" s="18" t="s">
        <v>11</v>
      </c>
      <c r="B16" s="26">
        <f t="shared" si="0"/>
        <v>88100</v>
      </c>
      <c r="C16" s="2"/>
      <c r="D16" s="1"/>
    </row>
    <row r="17" spans="1:10">
      <c r="A17" s="18" t="s">
        <v>12</v>
      </c>
      <c r="B17" s="26">
        <f t="shared" si="0"/>
        <v>73980</v>
      </c>
      <c r="C17" s="2"/>
      <c r="D17" s="1"/>
    </row>
    <row r="18" spans="1:10" ht="15.75" thickBot="1">
      <c r="A18" s="19" t="s">
        <v>13</v>
      </c>
      <c r="B18" s="26">
        <f t="shared" si="0"/>
        <v>84740</v>
      </c>
      <c r="C18" s="2"/>
      <c r="D18" s="1"/>
    </row>
    <row r="19" spans="1:10" ht="15.75" thickBot="1">
      <c r="A19" s="21" t="s">
        <v>4</v>
      </c>
      <c r="B19" s="35">
        <f>SUM(B7:B18)</f>
        <v>916880</v>
      </c>
      <c r="C19" s="33">
        <f>SUM(C7:C9)</f>
        <v>244420</v>
      </c>
      <c r="D19" s="37">
        <f>(C19-B19)/B19</f>
        <v>-0.73342203996160893</v>
      </c>
    </row>
    <row r="20" spans="1:10" ht="15.75" thickBot="1"/>
    <row r="21" spans="1:10" ht="15.75" thickBot="1">
      <c r="B21" s="184" t="s">
        <v>17</v>
      </c>
      <c r="C21" s="185"/>
      <c r="D21" s="186"/>
      <c r="E21" s="6"/>
      <c r="G21" s="184" t="s">
        <v>17</v>
      </c>
      <c r="H21" s="185"/>
      <c r="I21" s="186"/>
      <c r="J21" s="6"/>
    </row>
    <row r="22" spans="1:10">
      <c r="B22" s="184" t="s">
        <v>26</v>
      </c>
      <c r="C22" s="185"/>
      <c r="D22" s="186"/>
      <c r="E22" s="13"/>
      <c r="G22" s="184" t="s">
        <v>27</v>
      </c>
      <c r="H22" s="185"/>
      <c r="I22" s="186"/>
      <c r="J22" s="13"/>
    </row>
    <row r="23" spans="1:10" ht="15.75" thickBot="1">
      <c r="B23" s="7">
        <v>2019</v>
      </c>
      <c r="C23" s="8">
        <v>2020</v>
      </c>
      <c r="D23" s="9" t="s">
        <v>3</v>
      </c>
      <c r="E23" s="13"/>
      <c r="G23" s="7">
        <v>2019</v>
      </c>
      <c r="H23" s="8">
        <v>2020</v>
      </c>
      <c r="I23" s="9" t="s">
        <v>3</v>
      </c>
      <c r="J23" s="13"/>
    </row>
    <row r="24" spans="1:10">
      <c r="A24" s="17" t="s">
        <v>0</v>
      </c>
      <c r="B24" s="25">
        <v>71900</v>
      </c>
      <c r="C24" s="15">
        <v>82060</v>
      </c>
      <c r="D24" s="16">
        <f t="shared" ref="D24:D29" si="2">(C24-B24)/B24</f>
        <v>0.14130737134909596</v>
      </c>
      <c r="E24" s="13"/>
      <c r="F24" s="17" t="s">
        <v>0</v>
      </c>
      <c r="G24" s="25">
        <v>0</v>
      </c>
      <c r="H24" s="15">
        <v>0</v>
      </c>
      <c r="I24" s="16" t="s">
        <v>28</v>
      </c>
      <c r="J24" s="13"/>
    </row>
    <row r="25" spans="1:10">
      <c r="A25" s="18" t="s">
        <v>1</v>
      </c>
      <c r="B25" s="26">
        <v>65440</v>
      </c>
      <c r="C25" s="2">
        <v>80340</v>
      </c>
      <c r="D25" s="1">
        <f t="shared" si="2"/>
        <v>0.22768948655256724</v>
      </c>
      <c r="E25" s="13"/>
      <c r="F25" s="18" t="s">
        <v>1</v>
      </c>
      <c r="G25" s="26">
        <v>300</v>
      </c>
      <c r="H25" s="2">
        <v>0</v>
      </c>
      <c r="I25" s="1" t="s">
        <v>28</v>
      </c>
      <c r="J25" s="13"/>
    </row>
    <row r="26" spans="1:10">
      <c r="A26" s="18" t="s">
        <v>2</v>
      </c>
      <c r="B26" s="26">
        <v>71120</v>
      </c>
      <c r="C26" s="2">
        <v>81760</v>
      </c>
      <c r="D26" s="1">
        <f t="shared" si="2"/>
        <v>0.14960629921259844</v>
      </c>
      <c r="E26" s="32" t="s">
        <v>25</v>
      </c>
      <c r="F26" s="18" t="s">
        <v>2</v>
      </c>
      <c r="G26" s="26">
        <v>0</v>
      </c>
      <c r="H26" s="2">
        <v>260</v>
      </c>
      <c r="I26" s="1" t="s">
        <v>28</v>
      </c>
      <c r="J26" s="32"/>
    </row>
    <row r="27" spans="1:10">
      <c r="A27" s="18" t="s">
        <v>5</v>
      </c>
      <c r="B27" s="26">
        <v>78920</v>
      </c>
      <c r="C27" s="2">
        <v>73460</v>
      </c>
      <c r="D27" s="1">
        <f t="shared" si="2"/>
        <v>-6.9183983781044095E-2</v>
      </c>
      <c r="E27" s="29">
        <f>((C24+C25+C26)-(B24+B25+B26))*100/(B24+B25+B26)</f>
        <v>17.125587642713231</v>
      </c>
      <c r="F27" s="18" t="s">
        <v>5</v>
      </c>
      <c r="G27" s="26">
        <v>0</v>
      </c>
      <c r="H27" s="2">
        <v>0</v>
      </c>
      <c r="I27" s="1"/>
      <c r="J27" s="29"/>
    </row>
    <row r="28" spans="1:10">
      <c r="A28" s="18" t="s">
        <v>6</v>
      </c>
      <c r="B28" s="26">
        <v>69440</v>
      </c>
      <c r="C28" s="2">
        <v>72180</v>
      </c>
      <c r="D28" s="1">
        <f t="shared" si="2"/>
        <v>3.9458525345622122E-2</v>
      </c>
      <c r="F28" s="18" t="s">
        <v>6</v>
      </c>
      <c r="G28" s="26">
        <v>840</v>
      </c>
      <c r="H28" s="2">
        <v>0</v>
      </c>
      <c r="I28" s="1"/>
    </row>
    <row r="29" spans="1:10">
      <c r="A29" s="18" t="s">
        <v>7</v>
      </c>
      <c r="B29" s="26">
        <v>67280</v>
      </c>
      <c r="C29" s="2">
        <v>80140</v>
      </c>
      <c r="D29" s="1">
        <f t="shared" si="2"/>
        <v>0.19114149821640905</v>
      </c>
      <c r="F29" s="18" t="s">
        <v>7</v>
      </c>
      <c r="G29" s="26">
        <v>0</v>
      </c>
      <c r="H29" s="2"/>
      <c r="I29" s="1"/>
    </row>
    <row r="30" spans="1:10">
      <c r="A30" s="18" t="s">
        <v>8</v>
      </c>
      <c r="B30" s="26">
        <v>82780</v>
      </c>
      <c r="C30" s="2"/>
      <c r="D30" s="1"/>
      <c r="F30" s="18" t="s">
        <v>8</v>
      </c>
      <c r="G30" s="26">
        <v>380</v>
      </c>
      <c r="H30" s="2"/>
      <c r="I30" s="1"/>
    </row>
    <row r="31" spans="1:10">
      <c r="A31" s="18" t="s">
        <v>9</v>
      </c>
      <c r="B31" s="26">
        <v>84200</v>
      </c>
      <c r="C31" s="2"/>
      <c r="D31" s="1"/>
      <c r="F31" s="18" t="s">
        <v>9</v>
      </c>
      <c r="G31" s="26">
        <v>0</v>
      </c>
      <c r="H31" s="2"/>
      <c r="I31" s="1"/>
    </row>
    <row r="32" spans="1:10">
      <c r="A32" s="18" t="s">
        <v>10</v>
      </c>
      <c r="B32" s="26">
        <v>77200</v>
      </c>
      <c r="C32" s="2"/>
      <c r="D32" s="1"/>
      <c r="F32" s="18" t="s">
        <v>10</v>
      </c>
      <c r="G32" s="26">
        <v>260</v>
      </c>
      <c r="H32" s="2"/>
      <c r="I32" s="1"/>
    </row>
    <row r="33" spans="1:15">
      <c r="A33" s="18" t="s">
        <v>11</v>
      </c>
      <c r="B33" s="26">
        <v>88100</v>
      </c>
      <c r="C33" s="2"/>
      <c r="D33" s="1"/>
      <c r="F33" s="18" t="s">
        <v>11</v>
      </c>
      <c r="G33" s="26">
        <v>0</v>
      </c>
      <c r="H33" s="2"/>
      <c r="I33" s="1"/>
    </row>
    <row r="34" spans="1:15">
      <c r="A34" s="18" t="s">
        <v>12</v>
      </c>
      <c r="B34" s="26">
        <v>73720</v>
      </c>
      <c r="C34" s="2"/>
      <c r="D34" s="1"/>
      <c r="F34" s="18" t="s">
        <v>12</v>
      </c>
      <c r="G34" s="26">
        <v>260</v>
      </c>
      <c r="H34" s="2"/>
      <c r="I34" s="1"/>
    </row>
    <row r="35" spans="1:15" ht="15.75" thickBot="1">
      <c r="A35" s="19" t="s">
        <v>13</v>
      </c>
      <c r="B35" s="26">
        <v>84740</v>
      </c>
      <c r="C35" s="2"/>
      <c r="D35" s="1"/>
      <c r="F35" s="19" t="s">
        <v>13</v>
      </c>
      <c r="G35" s="26">
        <v>0</v>
      </c>
      <c r="H35" s="2"/>
      <c r="I35" s="1"/>
    </row>
    <row r="36" spans="1:15" ht="15.75" thickBot="1">
      <c r="A36" s="34" t="s">
        <v>4</v>
      </c>
      <c r="B36" s="35">
        <f>SUM(B24:B35)</f>
        <v>914840</v>
      </c>
      <c r="C36" s="11">
        <f>SUM(C24:C35)</f>
        <v>469940</v>
      </c>
      <c r="D36" s="20">
        <f>(C36-B36)/B36</f>
        <v>-0.48631454680599884</v>
      </c>
      <c r="F36" s="34" t="s">
        <v>4</v>
      </c>
      <c r="G36" s="35">
        <f>SUM(G24:G35)</f>
        <v>2040</v>
      </c>
      <c r="H36" s="11">
        <f>SUM(H24:H35)</f>
        <v>260</v>
      </c>
      <c r="I36" s="20">
        <f>(H36-G36)/G36</f>
        <v>-0.87254901960784315</v>
      </c>
    </row>
    <row r="38" spans="1:15">
      <c r="G38" s="36">
        <f>B36+G36</f>
        <v>916880</v>
      </c>
    </row>
    <row r="43" spans="1:15" ht="18.75">
      <c r="A43" s="46" t="s">
        <v>48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5.75">
      <c r="A44" s="94" t="s">
        <v>49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>
      <c r="A46" s="49"/>
      <c r="B46" s="49"/>
      <c r="C46" s="65">
        <v>2019</v>
      </c>
      <c r="D46" s="51" t="s">
        <v>29</v>
      </c>
      <c r="E46" s="65">
        <v>2018</v>
      </c>
      <c r="F46" s="51" t="s">
        <v>29</v>
      </c>
      <c r="G46" s="65">
        <v>2017</v>
      </c>
      <c r="H46" s="51" t="s">
        <v>29</v>
      </c>
      <c r="I46" s="61">
        <v>2016</v>
      </c>
      <c r="J46" s="51" t="s">
        <v>29</v>
      </c>
      <c r="K46" s="61">
        <v>2015</v>
      </c>
      <c r="L46" s="51" t="s">
        <v>29</v>
      </c>
      <c r="M46" s="62">
        <v>2014</v>
      </c>
      <c r="N46" s="51" t="s">
        <v>29</v>
      </c>
      <c r="O46" s="62">
        <v>2013</v>
      </c>
    </row>
    <row r="47" spans="1:15">
      <c r="A47" s="39" t="s">
        <v>30</v>
      </c>
      <c r="B47" s="67"/>
      <c r="C47" s="79">
        <v>914520.00000000012</v>
      </c>
      <c r="D47" s="63">
        <v>16.111761374350969</v>
      </c>
      <c r="E47" s="80">
        <v>787620.46942991007</v>
      </c>
      <c r="F47" s="63">
        <v>12.408013562526413</v>
      </c>
      <c r="G47" s="81">
        <v>700680</v>
      </c>
      <c r="H47" s="63">
        <v>20.156394690811812</v>
      </c>
      <c r="I47" s="81">
        <v>583140</v>
      </c>
      <c r="J47" s="63">
        <v>17.540111263404015</v>
      </c>
      <c r="K47" s="80">
        <v>496120</v>
      </c>
      <c r="L47" s="63">
        <v>12.031433474844187</v>
      </c>
      <c r="M47" s="82">
        <v>442840</v>
      </c>
      <c r="N47" s="63">
        <v>-0.87684729460988531</v>
      </c>
      <c r="O47" s="82">
        <v>446757.38</v>
      </c>
    </row>
    <row r="48" spans="1:15">
      <c r="A48" s="40" t="s">
        <v>47</v>
      </c>
      <c r="B48" s="68"/>
      <c r="C48" s="83">
        <v>11.062162064085351</v>
      </c>
      <c r="D48" s="54">
        <v>14.976922032980035</v>
      </c>
      <c r="E48" s="84">
        <v>9.6212021234246254</v>
      </c>
      <c r="F48" s="54">
        <v>11.703601178939499</v>
      </c>
      <c r="G48" s="84">
        <v>8.6131530424093423</v>
      </c>
      <c r="H48" s="54">
        <v>20.357270777817956</v>
      </c>
      <c r="I48" s="84">
        <v>7.1563213312716298</v>
      </c>
      <c r="J48" s="54">
        <v>18.780624918345076</v>
      </c>
      <c r="K48" s="84">
        <v>6.0248220921477671</v>
      </c>
      <c r="L48" s="54">
        <v>13.541584437332675</v>
      </c>
      <c r="M48" s="85">
        <v>5.3062691717791415</v>
      </c>
      <c r="N48" s="54">
        <v>1.0935959370120807</v>
      </c>
      <c r="O48" s="85">
        <v>5.2488677671385773</v>
      </c>
    </row>
    <row r="49" spans="1:15">
      <c r="A49" s="41" t="s">
        <v>32</v>
      </c>
      <c r="B49" s="69"/>
      <c r="C49" s="86">
        <v>366</v>
      </c>
      <c r="D49" s="45">
        <v>-2.4</v>
      </c>
      <c r="E49" s="87">
        <v>375</v>
      </c>
      <c r="F49" s="45">
        <v>1.0781671159029649</v>
      </c>
      <c r="G49" s="87">
        <v>371</v>
      </c>
      <c r="H49" s="45">
        <v>6.6091954022988508</v>
      </c>
      <c r="I49" s="87">
        <v>348</v>
      </c>
      <c r="J49" s="45">
        <v>6.0975609756097562</v>
      </c>
      <c r="K49" s="87">
        <v>328</v>
      </c>
      <c r="L49" s="45">
        <v>32.793522267206477</v>
      </c>
      <c r="M49" s="88">
        <v>247</v>
      </c>
      <c r="N49" s="45">
        <v>0.4065040650406504</v>
      </c>
      <c r="O49" s="88">
        <v>246</v>
      </c>
    </row>
    <row r="50" spans="1:15" ht="18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8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66"/>
    </row>
    <row r="52" spans="1:15">
      <c r="D52" s="182" t="s">
        <v>79</v>
      </c>
      <c r="E52" s="183"/>
      <c r="F52" s="183"/>
      <c r="G52" s="183"/>
      <c r="H52" s="183"/>
      <c r="I52" s="183"/>
      <c r="J52" s="183"/>
      <c r="M52" s="47"/>
      <c r="N52" s="47"/>
      <c r="O52" s="66"/>
    </row>
    <row r="53" spans="1:15" ht="15.75" thickBot="1">
      <c r="M53" s="70"/>
      <c r="N53" s="70"/>
      <c r="O53" s="66"/>
    </row>
    <row r="54" spans="1:15" ht="15.75" thickBot="1">
      <c r="A54" s="49"/>
      <c r="B54" s="49"/>
      <c r="C54" s="98">
        <v>2010</v>
      </c>
      <c r="D54" s="98">
        <v>2011</v>
      </c>
      <c r="E54" s="98">
        <v>2012</v>
      </c>
      <c r="F54" s="98">
        <v>2013</v>
      </c>
      <c r="G54" s="98">
        <v>2014</v>
      </c>
      <c r="H54" s="98">
        <v>2015</v>
      </c>
      <c r="I54" s="98">
        <v>2016</v>
      </c>
      <c r="J54" s="98">
        <v>2017</v>
      </c>
      <c r="K54" s="98">
        <v>2018</v>
      </c>
      <c r="L54" s="98">
        <v>2019</v>
      </c>
      <c r="M54" s="71"/>
      <c r="N54" s="47"/>
      <c r="O54" s="66"/>
    </row>
    <row r="55" spans="1:15">
      <c r="A55" s="42" t="s">
        <v>33</v>
      </c>
      <c r="B55" s="52"/>
      <c r="C55" s="143">
        <v>9321.5737696511515</v>
      </c>
      <c r="D55" s="143">
        <v>9665.7619817475661</v>
      </c>
      <c r="E55" s="144"/>
      <c r="F55" s="143">
        <v>10099.85</v>
      </c>
      <c r="G55" s="143">
        <v>9910</v>
      </c>
      <c r="H55" s="143"/>
      <c r="I55" s="143">
        <v>8524</v>
      </c>
      <c r="J55" s="143">
        <v>10450</v>
      </c>
      <c r="K55" s="143">
        <v>10741.89630000442</v>
      </c>
      <c r="L55" s="143">
        <v>18590</v>
      </c>
      <c r="M55" s="71"/>
      <c r="N55" s="47"/>
      <c r="O55" s="66"/>
    </row>
    <row r="56" spans="1:15">
      <c r="A56" s="43" t="s">
        <v>34</v>
      </c>
      <c r="B56" s="55"/>
      <c r="C56" s="145">
        <v>33644.509993278574</v>
      </c>
      <c r="D56" s="145">
        <v>35235.02545936191</v>
      </c>
      <c r="E56" s="146"/>
      <c r="F56" s="145">
        <v>36157.519999999997</v>
      </c>
      <c r="G56" s="145">
        <v>35860</v>
      </c>
      <c r="H56" s="145"/>
      <c r="I56" s="145">
        <v>58530</v>
      </c>
      <c r="J56" s="145">
        <v>76477</v>
      </c>
      <c r="K56" s="145">
        <v>84328.793083495722</v>
      </c>
      <c r="L56" s="145">
        <v>92541</v>
      </c>
      <c r="M56" s="71"/>
      <c r="N56" s="47"/>
      <c r="O56" s="66"/>
    </row>
    <row r="57" spans="1:15">
      <c r="A57" s="43" t="s">
        <v>35</v>
      </c>
      <c r="B57" s="55"/>
      <c r="C57" s="145">
        <v>41174.162513081552</v>
      </c>
      <c r="D57" s="145">
        <v>42540.379193196044</v>
      </c>
      <c r="E57" s="146"/>
      <c r="F57" s="145">
        <v>44037.700000000004</v>
      </c>
      <c r="G57" s="145">
        <v>43636</v>
      </c>
      <c r="H57" s="145"/>
      <c r="I57" s="145">
        <v>55593</v>
      </c>
      <c r="J57" s="145">
        <v>65226</v>
      </c>
      <c r="K57" s="145">
        <v>83530.530877704179</v>
      </c>
      <c r="L57" s="145">
        <v>87920</v>
      </c>
      <c r="M57" s="71"/>
      <c r="N57" s="47"/>
      <c r="O57" s="66"/>
    </row>
    <row r="58" spans="1:15">
      <c r="A58" s="43" t="s">
        <v>36</v>
      </c>
      <c r="B58" s="55"/>
      <c r="C58" s="145">
        <v>22990.856870174386</v>
      </c>
      <c r="D58" s="145">
        <v>23922.120670301632</v>
      </c>
      <c r="E58" s="146"/>
      <c r="F58" s="145">
        <v>24534.269999999997</v>
      </c>
      <c r="G58" s="145">
        <v>24529</v>
      </c>
      <c r="H58" s="145"/>
      <c r="I58" s="145">
        <v>11524</v>
      </c>
      <c r="J58" s="145">
        <v>9859</v>
      </c>
      <c r="K58" s="145">
        <v>15330.741004926058</v>
      </c>
      <c r="L58" s="145">
        <v>16102</v>
      </c>
      <c r="M58" s="71"/>
      <c r="N58" s="47"/>
      <c r="O58" s="66"/>
    </row>
    <row r="59" spans="1:15">
      <c r="A59" s="43" t="s">
        <v>37</v>
      </c>
      <c r="B59" s="55"/>
      <c r="C59" s="145">
        <v>3877.8418068181036</v>
      </c>
      <c r="D59" s="145">
        <v>4073.7152009147376</v>
      </c>
      <c r="E59" s="146"/>
      <c r="F59" s="145">
        <v>4241.74</v>
      </c>
      <c r="G59" s="145">
        <v>4168</v>
      </c>
      <c r="H59" s="145"/>
      <c r="I59" s="145">
        <v>6241</v>
      </c>
      <c r="J59" s="145">
        <v>7205</v>
      </c>
      <c r="K59" s="145">
        <v>7482.4860532644007</v>
      </c>
      <c r="L59" s="145">
        <v>11260</v>
      </c>
      <c r="M59" s="71"/>
      <c r="N59" s="47"/>
      <c r="O59" s="66"/>
    </row>
    <row r="60" spans="1:15">
      <c r="A60" s="43" t="s">
        <v>38</v>
      </c>
      <c r="B60" s="55"/>
      <c r="C60" s="145">
        <v>98964.764134707904</v>
      </c>
      <c r="D60" s="145">
        <v>102607.71613578351</v>
      </c>
      <c r="E60" s="146"/>
      <c r="F60" s="145">
        <v>105516.76000000001</v>
      </c>
      <c r="G60" s="145">
        <v>105439</v>
      </c>
      <c r="H60" s="145"/>
      <c r="I60" s="145">
        <v>192254</v>
      </c>
      <c r="J60" s="145">
        <v>215262</v>
      </c>
      <c r="K60" s="145">
        <v>231106.84897598534</v>
      </c>
      <c r="L60" s="145">
        <v>278988</v>
      </c>
      <c r="M60" s="71"/>
      <c r="N60" s="47"/>
      <c r="O60" s="66"/>
    </row>
    <row r="61" spans="1:15">
      <c r="A61" s="43" t="s">
        <v>39</v>
      </c>
      <c r="B61" s="55"/>
      <c r="C61" s="145">
        <v>25267.60007425752</v>
      </c>
      <c r="D61" s="145">
        <v>26143.004518908561</v>
      </c>
      <c r="E61" s="146"/>
      <c r="F61" s="145">
        <v>27187.079999999998</v>
      </c>
      <c r="G61" s="145">
        <v>26711</v>
      </c>
      <c r="H61" s="145"/>
      <c r="I61" s="145">
        <v>25205</v>
      </c>
      <c r="J61" s="145">
        <v>29290</v>
      </c>
      <c r="K61" s="145">
        <v>33310</v>
      </c>
      <c r="L61" s="145">
        <v>38577</v>
      </c>
      <c r="M61" s="71"/>
      <c r="N61" s="47"/>
      <c r="O61" s="47"/>
    </row>
    <row r="62" spans="1:15">
      <c r="A62" s="43" t="s">
        <v>40</v>
      </c>
      <c r="B62" s="55"/>
      <c r="C62" s="145">
        <v>25293.194030682149</v>
      </c>
      <c r="D62" s="145">
        <v>26278.362834578653</v>
      </c>
      <c r="E62" s="146"/>
      <c r="F62" s="145">
        <v>27022.71</v>
      </c>
      <c r="G62" s="145">
        <v>26840</v>
      </c>
      <c r="H62" s="145"/>
      <c r="I62" s="145">
        <v>31494</v>
      </c>
      <c r="J62" s="145">
        <v>45760</v>
      </c>
      <c r="K62" s="145">
        <v>54974.424921481404</v>
      </c>
      <c r="L62" s="145">
        <v>69978</v>
      </c>
      <c r="M62" s="71"/>
      <c r="N62" s="47"/>
    </row>
    <row r="63" spans="1:15">
      <c r="A63" s="43" t="s">
        <v>41</v>
      </c>
      <c r="B63" s="55"/>
      <c r="C63" s="145">
        <v>5704.5684699983512</v>
      </c>
      <c r="D63" s="145">
        <v>5998.3062388628705</v>
      </c>
      <c r="E63" s="146"/>
      <c r="F63" s="145">
        <v>6097.2900000000009</v>
      </c>
      <c r="G63" s="145">
        <v>6079</v>
      </c>
      <c r="H63" s="145"/>
      <c r="I63" s="145">
        <v>10334</v>
      </c>
      <c r="J63" s="145">
        <v>12865</v>
      </c>
      <c r="K63" s="145">
        <v>15249.11466046118</v>
      </c>
      <c r="L63" s="145">
        <v>19682</v>
      </c>
      <c r="M63" s="71"/>
      <c r="N63" s="47"/>
    </row>
    <row r="64" spans="1:15">
      <c r="A64" s="43" t="s">
        <v>42</v>
      </c>
      <c r="B64" s="55"/>
      <c r="C64" s="145">
        <v>12391.405503080272</v>
      </c>
      <c r="D64" s="145">
        <v>12942.087768430427</v>
      </c>
      <c r="E64" s="146"/>
      <c r="F64" s="145">
        <v>13315.09</v>
      </c>
      <c r="G64" s="145">
        <v>13173</v>
      </c>
      <c r="H64" s="145"/>
      <c r="I64" s="145">
        <v>14577</v>
      </c>
      <c r="J64" s="145">
        <v>17394</v>
      </c>
      <c r="K64" s="145">
        <v>18398.086101121218</v>
      </c>
      <c r="L64" s="145">
        <v>25486</v>
      </c>
      <c r="M64" s="71"/>
      <c r="N64" s="47"/>
    </row>
    <row r="65" spans="1:14">
      <c r="A65" s="43" t="s">
        <v>43</v>
      </c>
      <c r="B65" s="55"/>
      <c r="C65" s="145">
        <v>28800.941825541697</v>
      </c>
      <c r="D65" s="145">
        <v>29880.327581335081</v>
      </c>
      <c r="E65" s="146"/>
      <c r="F65" s="145">
        <v>30860.160000000003</v>
      </c>
      <c r="G65" s="145">
        <v>30540</v>
      </c>
      <c r="H65" s="145"/>
      <c r="I65" s="145">
        <v>18217</v>
      </c>
      <c r="J65" s="145">
        <v>21795</v>
      </c>
      <c r="K65" s="145">
        <v>22295.819547281575</v>
      </c>
      <c r="L65" s="145">
        <v>27970</v>
      </c>
      <c r="M65" s="71"/>
      <c r="N65" s="47"/>
    </row>
    <row r="66" spans="1:14">
      <c r="A66" s="43" t="s">
        <v>44</v>
      </c>
      <c r="B66" s="55"/>
      <c r="C66" s="145">
        <v>90924.400863221992</v>
      </c>
      <c r="D66" s="145">
        <v>94764.73814615712</v>
      </c>
      <c r="E66" s="146"/>
      <c r="F66" s="145">
        <v>98201.290000000008</v>
      </c>
      <c r="G66" s="145">
        <v>96723</v>
      </c>
      <c r="H66" s="145"/>
      <c r="I66" s="145">
        <v>109053</v>
      </c>
      <c r="J66" s="145">
        <v>137937</v>
      </c>
      <c r="K66" s="145">
        <v>155870.0242224453</v>
      </c>
      <c r="L66" s="145">
        <v>162727</v>
      </c>
      <c r="M66" s="71"/>
      <c r="N66" s="47"/>
    </row>
    <row r="67" spans="1:14">
      <c r="A67" s="43" t="s">
        <v>45</v>
      </c>
      <c r="B67" s="55"/>
      <c r="C67" s="145">
        <v>11985.907183732761</v>
      </c>
      <c r="D67" s="145">
        <v>12447.414692417737</v>
      </c>
      <c r="E67" s="146"/>
      <c r="F67" s="145">
        <v>12896.939999999999</v>
      </c>
      <c r="G67" s="145">
        <v>12648</v>
      </c>
      <c r="H67" s="145"/>
      <c r="I67" s="145">
        <v>23331</v>
      </c>
      <c r="J67" s="145">
        <v>30141</v>
      </c>
      <c r="K67" s="145">
        <v>34690.693738857815</v>
      </c>
      <c r="L67" s="145">
        <v>37253</v>
      </c>
      <c r="M67" s="71"/>
      <c r="N67" s="47"/>
    </row>
    <row r="68" spans="1:14" ht="15.75" thickBot="1">
      <c r="A68" s="44" t="s">
        <v>46</v>
      </c>
      <c r="B68" s="57"/>
      <c r="C68" s="147">
        <v>6218.2729617735968</v>
      </c>
      <c r="D68" s="147">
        <v>6441.0395780041499</v>
      </c>
      <c r="E68" s="148"/>
      <c r="F68" s="147">
        <v>6588.9800000000005</v>
      </c>
      <c r="G68" s="147">
        <v>6584</v>
      </c>
      <c r="H68" s="147"/>
      <c r="I68" s="147">
        <v>18263</v>
      </c>
      <c r="J68" s="147">
        <v>21019</v>
      </c>
      <c r="K68" s="147">
        <v>20311.009942881319</v>
      </c>
      <c r="L68" s="147">
        <v>27444</v>
      </c>
      <c r="M68" s="72"/>
      <c r="N68" s="72"/>
    </row>
    <row r="69" spans="1:14" ht="15.75" thickBot="1">
      <c r="A69" s="60"/>
      <c r="B69" s="60"/>
    </row>
    <row r="70" spans="1:14" ht="15.75" thickBot="1">
      <c r="A70" s="142" t="s">
        <v>80</v>
      </c>
      <c r="C70" s="121">
        <f>SUM(C55:C68)/1000</f>
        <v>416.56</v>
      </c>
      <c r="D70" s="121">
        <f>SUM(D55:D68)/1000</f>
        <v>432.94</v>
      </c>
      <c r="E70" s="121">
        <f>431150/1000</f>
        <v>431.15</v>
      </c>
      <c r="F70" s="121">
        <f>446757.38/1000</f>
        <v>446.75738000000001</v>
      </c>
      <c r="G70" s="121">
        <f>442840/1000</f>
        <v>442.84</v>
      </c>
      <c r="H70" s="121">
        <f>496120/1000</f>
        <v>496.12</v>
      </c>
      <c r="I70" s="121">
        <f>583140/1000</f>
        <v>583.14</v>
      </c>
      <c r="J70" s="121">
        <f>700680/1000</f>
        <v>700.68</v>
      </c>
      <c r="K70" s="121">
        <f>SUM(K55:K68)/1000</f>
        <v>787.62046942991003</v>
      </c>
      <c r="L70" s="121">
        <f>SUM(L55:L68)/1000</f>
        <v>914.51800000000003</v>
      </c>
    </row>
  </sheetData>
  <mergeCells count="7">
    <mergeCell ref="D52:J52"/>
    <mergeCell ref="G21:I21"/>
    <mergeCell ref="G22:I22"/>
    <mergeCell ref="B4:D4"/>
    <mergeCell ref="B5:D5"/>
    <mergeCell ref="B21:D21"/>
    <mergeCell ref="B22:D22"/>
  </mergeCells>
  <printOptions horizontalCentered="1" verticalCentered="1"/>
  <pageMargins left="0.06" right="0.03" top="0.33" bottom="0.2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90" zoomScaleNormal="90" workbookViewId="0">
      <selection activeCell="R31" sqref="R31"/>
    </sheetView>
  </sheetViews>
  <sheetFormatPr baseColWidth="10" defaultRowHeight="15"/>
  <cols>
    <col min="1" max="1" width="13.28515625" customWidth="1"/>
    <col min="2" max="2" width="17" customWidth="1"/>
    <col min="3" max="3" width="10.5703125" customWidth="1"/>
    <col min="4" max="4" width="8.85546875" customWidth="1"/>
    <col min="5" max="5" width="10.42578125" style="174" customWidth="1"/>
    <col min="6" max="6" width="8.7109375" customWidth="1"/>
    <col min="7" max="7" width="9.5703125" customWidth="1"/>
    <col min="8" max="8" width="7.28515625" customWidth="1"/>
    <col min="9" max="9" width="8.7109375" customWidth="1"/>
    <col min="10" max="10" width="8" customWidth="1"/>
    <col min="11" max="11" width="9" customWidth="1"/>
    <col min="12" max="12" width="8.5703125" customWidth="1"/>
    <col min="13" max="13" width="9.85546875" customWidth="1"/>
    <col min="14" max="14" width="11.28515625" customWidth="1"/>
  </cols>
  <sheetData>
    <row r="1" spans="1:7" ht="16.5" thickBot="1">
      <c r="A1" s="28" t="s">
        <v>22</v>
      </c>
    </row>
    <row r="2" spans="1:7" ht="15.75" thickBot="1">
      <c r="B2" s="184" t="s">
        <v>17</v>
      </c>
      <c r="C2" s="185"/>
      <c r="D2" s="186"/>
    </row>
    <row r="3" spans="1:7" ht="15.75" customHeight="1">
      <c r="B3" s="184" t="s">
        <v>18</v>
      </c>
      <c r="C3" s="185"/>
      <c r="D3" s="186"/>
    </row>
    <row r="4" spans="1:7" ht="15.75" thickBot="1">
      <c r="B4" s="7">
        <v>2019</v>
      </c>
      <c r="C4" s="8">
        <v>2020</v>
      </c>
      <c r="D4" s="9" t="s">
        <v>3</v>
      </c>
    </row>
    <row r="5" spans="1:7">
      <c r="A5" s="17" t="s">
        <v>0</v>
      </c>
      <c r="B5" s="162">
        <f t="shared" ref="B5:C8" si="0">B21+G21+L21</f>
        <v>142.38</v>
      </c>
      <c r="C5" s="154">
        <f t="shared" si="0"/>
        <v>150.66</v>
      </c>
      <c r="D5" s="16">
        <f>(C5-B5)/B5</f>
        <v>5.8154235145385598E-2</v>
      </c>
    </row>
    <row r="6" spans="1:7">
      <c r="A6" s="18" t="s">
        <v>1</v>
      </c>
      <c r="B6" s="163">
        <f t="shared" si="0"/>
        <v>120.94000000000001</v>
      </c>
      <c r="C6" s="155">
        <f t="shared" si="0"/>
        <v>125.44</v>
      </c>
      <c r="D6" s="1">
        <f>(C6-B6)/B6</f>
        <v>3.7208533156937201E-2</v>
      </c>
      <c r="E6" s="174" t="s">
        <v>51</v>
      </c>
    </row>
    <row r="7" spans="1:7">
      <c r="A7" s="18" t="s">
        <v>2</v>
      </c>
      <c r="B7" s="163">
        <f t="shared" si="0"/>
        <v>127.25999999999999</v>
      </c>
      <c r="C7" s="155">
        <f t="shared" si="0"/>
        <v>112.61999999999999</v>
      </c>
      <c r="D7" s="1">
        <f>(C7-B7)/B7</f>
        <v>-0.11504007543611505</v>
      </c>
      <c r="E7" s="175">
        <f>((C5+C6+C7+C8)-(B5+B6+B7+B8))*100/(B5+B6+B7+B8)</f>
        <v>-11.327021455295101</v>
      </c>
    </row>
    <row r="8" spans="1:7">
      <c r="A8" s="18" t="s">
        <v>5</v>
      </c>
      <c r="B8" s="163">
        <f t="shared" si="0"/>
        <v>133.30000000000001</v>
      </c>
      <c r="C8" s="155">
        <f t="shared" si="0"/>
        <v>75.819999999999993</v>
      </c>
      <c r="D8" s="1">
        <f>(C8-B8)/B8</f>
        <v>-0.43120780195048775</v>
      </c>
    </row>
    <row r="9" spans="1:7">
      <c r="A9" s="18" t="s">
        <v>6</v>
      </c>
      <c r="B9" s="163">
        <f t="shared" ref="B9:B16" si="1">B25+G25+L25</f>
        <v>136.76</v>
      </c>
      <c r="C9" s="155"/>
      <c r="D9" s="1"/>
    </row>
    <row r="10" spans="1:7">
      <c r="A10" s="18" t="s">
        <v>7</v>
      </c>
      <c r="B10" s="163">
        <f t="shared" si="1"/>
        <v>124.91999999999999</v>
      </c>
      <c r="C10" s="155"/>
      <c r="D10" s="1"/>
    </row>
    <row r="11" spans="1:7">
      <c r="A11" s="18" t="s">
        <v>8</v>
      </c>
      <c r="B11" s="163">
        <f t="shared" si="1"/>
        <v>146.44</v>
      </c>
      <c r="C11" s="155"/>
      <c r="D11" s="1"/>
      <c r="F11" s="27"/>
      <c r="G11" s="27"/>
    </row>
    <row r="12" spans="1:7">
      <c r="A12" s="18" t="s">
        <v>9</v>
      </c>
      <c r="B12" s="163">
        <f t="shared" si="1"/>
        <v>149.06</v>
      </c>
      <c r="C12" s="155"/>
      <c r="D12" s="1"/>
    </row>
    <row r="13" spans="1:7">
      <c r="A13" s="18" t="s">
        <v>10</v>
      </c>
      <c r="B13" s="163">
        <f t="shared" si="1"/>
        <v>137.88</v>
      </c>
      <c r="C13" s="155"/>
      <c r="D13" s="1"/>
    </row>
    <row r="14" spans="1:7">
      <c r="A14" s="18" t="s">
        <v>11</v>
      </c>
      <c r="B14" s="163">
        <f t="shared" si="1"/>
        <v>148.04000000000002</v>
      </c>
      <c r="C14" s="155"/>
      <c r="D14" s="1"/>
    </row>
    <row r="15" spans="1:7">
      <c r="A15" s="18" t="s">
        <v>12</v>
      </c>
      <c r="B15" s="163">
        <f t="shared" si="1"/>
        <v>139.32</v>
      </c>
      <c r="C15" s="155"/>
      <c r="D15" s="1"/>
    </row>
    <row r="16" spans="1:7" ht="15.75" thickBot="1">
      <c r="A16" s="19" t="s">
        <v>13</v>
      </c>
      <c r="B16" s="164">
        <f t="shared" si="1"/>
        <v>151.64000000000001</v>
      </c>
      <c r="C16" s="155"/>
      <c r="D16" s="1"/>
    </row>
    <row r="17" spans="1:15" ht="15.75" thickBot="1">
      <c r="A17" s="21" t="s">
        <v>4</v>
      </c>
      <c r="B17" s="165">
        <f>SUM(B5:B16)</f>
        <v>1657.94</v>
      </c>
      <c r="C17" s="166">
        <f>SUM(C5:C7)</f>
        <v>388.72</v>
      </c>
      <c r="D17" s="20">
        <f>(C17-B17)/B17</f>
        <v>-0.76554036937404246</v>
      </c>
    </row>
    <row r="19" spans="1:15" ht="15.75" thickBot="1">
      <c r="B19" s="190" t="s">
        <v>14</v>
      </c>
      <c r="C19" s="190"/>
      <c r="D19" s="190"/>
      <c r="G19" s="190" t="s">
        <v>15</v>
      </c>
      <c r="H19" s="190"/>
      <c r="I19" s="190"/>
      <c r="L19" s="190" t="s">
        <v>16</v>
      </c>
      <c r="M19" s="190"/>
      <c r="N19" s="190"/>
    </row>
    <row r="20" spans="1:15" ht="15.75" thickBot="1">
      <c r="B20" s="7">
        <v>2019</v>
      </c>
      <c r="C20" s="8">
        <v>2020</v>
      </c>
      <c r="D20" s="9" t="s">
        <v>3</v>
      </c>
      <c r="G20" s="22">
        <v>2019</v>
      </c>
      <c r="H20" s="23">
        <v>2020</v>
      </c>
      <c r="I20" s="24" t="s">
        <v>3</v>
      </c>
      <c r="L20" s="22">
        <v>2019</v>
      </c>
      <c r="M20" s="23">
        <v>2020</v>
      </c>
      <c r="N20" s="24" t="s">
        <v>3</v>
      </c>
    </row>
    <row r="21" spans="1:15">
      <c r="A21" s="3" t="s">
        <v>0</v>
      </c>
      <c r="B21" s="154">
        <v>106.6</v>
      </c>
      <c r="C21" s="157">
        <v>112.72</v>
      </c>
      <c r="D21" s="16">
        <f t="shared" ref="D21:D26" si="2">(C21-B21)/B21</f>
        <v>5.7410881801125746E-2</v>
      </c>
      <c r="F21" s="3" t="s">
        <v>0</v>
      </c>
      <c r="G21" s="160">
        <v>24.64</v>
      </c>
      <c r="H21" s="155">
        <v>25.9</v>
      </c>
      <c r="I21" s="1">
        <f t="shared" ref="I21:I26" si="3">(H21-G21)/G21</f>
        <v>5.1136363636363556E-2</v>
      </c>
      <c r="K21" s="3" t="s">
        <v>0</v>
      </c>
      <c r="L21" s="161">
        <v>11.14</v>
      </c>
      <c r="M21" s="155">
        <v>12.04</v>
      </c>
      <c r="N21" s="1">
        <f t="shared" ref="N21:N26" si="4">(M21-L21)/L21</f>
        <v>8.0789946140035776E-2</v>
      </c>
    </row>
    <row r="22" spans="1:15">
      <c r="A22" s="4" t="s">
        <v>1</v>
      </c>
      <c r="B22" s="155">
        <v>91.34</v>
      </c>
      <c r="C22" s="158">
        <v>90.24</v>
      </c>
      <c r="D22" s="1">
        <f t="shared" si="2"/>
        <v>-1.2042916575432543E-2</v>
      </c>
      <c r="F22" s="4" t="s">
        <v>1</v>
      </c>
      <c r="G22" s="160">
        <v>20.84</v>
      </c>
      <c r="H22" s="155">
        <v>21.38</v>
      </c>
      <c r="I22" s="1">
        <f t="shared" si="3"/>
        <v>2.5911708253358885E-2</v>
      </c>
      <c r="K22" s="4" t="s">
        <v>1</v>
      </c>
      <c r="L22" s="161">
        <v>8.76</v>
      </c>
      <c r="M22" s="155">
        <v>13.82</v>
      </c>
      <c r="N22" s="1">
        <f t="shared" si="4"/>
        <v>0.57762557077625576</v>
      </c>
      <c r="O22" s="30" t="s">
        <v>19</v>
      </c>
    </row>
    <row r="23" spans="1:15">
      <c r="A23" s="4" t="s">
        <v>2</v>
      </c>
      <c r="B23" s="155">
        <v>93.22</v>
      </c>
      <c r="C23" s="158">
        <v>91.44</v>
      </c>
      <c r="D23" s="1">
        <f t="shared" si="2"/>
        <v>-1.9094614889508702E-2</v>
      </c>
      <c r="E23" s="30" t="s">
        <v>19</v>
      </c>
      <c r="F23" s="4" t="s">
        <v>2</v>
      </c>
      <c r="G23" s="160">
        <v>24.36</v>
      </c>
      <c r="H23" s="155">
        <v>15.38</v>
      </c>
      <c r="I23" s="1">
        <f t="shared" si="3"/>
        <v>-0.3686371100164203</v>
      </c>
      <c r="J23" s="30" t="s">
        <v>19</v>
      </c>
      <c r="K23" s="4" t="s">
        <v>2</v>
      </c>
      <c r="L23" s="161">
        <v>9.68</v>
      </c>
      <c r="M23" s="155">
        <v>5.8</v>
      </c>
      <c r="N23" s="1">
        <f t="shared" si="4"/>
        <v>-0.40082644628099173</v>
      </c>
      <c r="O23" s="31">
        <f>((M21+M22+M23+M24)-(L21+L22+L23+L24))*100/(L21+L22+L23+L24)</f>
        <v>-24.61904761904762</v>
      </c>
    </row>
    <row r="24" spans="1:15">
      <c r="A24" s="4" t="s">
        <v>5</v>
      </c>
      <c r="B24" s="155">
        <v>96.12</v>
      </c>
      <c r="C24" s="158">
        <v>72.52</v>
      </c>
      <c r="D24" s="1">
        <f t="shared" si="2"/>
        <v>-0.24552642530170629</v>
      </c>
      <c r="E24" s="31">
        <f>((C21+C22+C23+C24)-(B21+B22+B23+B24))*100/(B21+B22+B23+B24)</f>
        <v>-5.2571782689526998</v>
      </c>
      <c r="F24" s="4" t="s">
        <v>5</v>
      </c>
      <c r="G24" s="160">
        <v>24.76</v>
      </c>
      <c r="H24" s="155">
        <v>3.3</v>
      </c>
      <c r="I24" s="1">
        <f t="shared" si="3"/>
        <v>-0.86672051696284325</v>
      </c>
      <c r="J24" s="31">
        <f>((H21+H22+H23+H24)-(G21+G22+G23+G24))*100/(G21+G22+G23+G24)</f>
        <v>-30.274841437632134</v>
      </c>
      <c r="K24" s="4" t="s">
        <v>5</v>
      </c>
      <c r="L24" s="161">
        <v>12.42</v>
      </c>
      <c r="M24" s="155">
        <v>0</v>
      </c>
      <c r="N24" s="1">
        <f t="shared" si="4"/>
        <v>-1</v>
      </c>
    </row>
    <row r="25" spans="1:15">
      <c r="A25" s="4" t="s">
        <v>6</v>
      </c>
      <c r="B25" s="155">
        <v>100.44</v>
      </c>
      <c r="C25" s="158">
        <v>83.42</v>
      </c>
      <c r="D25" s="1">
        <f t="shared" si="2"/>
        <v>-0.1694544006371963</v>
      </c>
      <c r="F25" s="4" t="s">
        <v>6</v>
      </c>
      <c r="G25" s="160">
        <v>24.14</v>
      </c>
      <c r="H25" s="155">
        <v>9.36</v>
      </c>
      <c r="I25" s="1">
        <f t="shared" si="3"/>
        <v>-0.61226180613090309</v>
      </c>
      <c r="K25" s="4" t="s">
        <v>6</v>
      </c>
      <c r="L25" s="161">
        <v>12.18</v>
      </c>
      <c r="M25" s="155">
        <v>6.26</v>
      </c>
      <c r="N25" s="1">
        <f t="shared" si="4"/>
        <v>-0.48604269293924468</v>
      </c>
    </row>
    <row r="26" spans="1:15">
      <c r="A26" s="4" t="s">
        <v>7</v>
      </c>
      <c r="B26" s="155">
        <v>94.02</v>
      </c>
      <c r="C26" s="158">
        <v>93.14</v>
      </c>
      <c r="D26" s="1">
        <f t="shared" si="2"/>
        <v>-9.3597106998510472E-3</v>
      </c>
      <c r="F26" s="4" t="s">
        <v>7</v>
      </c>
      <c r="G26" s="160">
        <v>21.96</v>
      </c>
      <c r="H26" s="155">
        <v>15.36</v>
      </c>
      <c r="I26" s="1">
        <f t="shared" si="3"/>
        <v>-0.30054644808743175</v>
      </c>
      <c r="K26" s="4" t="s">
        <v>7</v>
      </c>
      <c r="L26" s="161">
        <v>8.94</v>
      </c>
      <c r="M26" s="155">
        <v>7.92</v>
      </c>
      <c r="N26" s="1">
        <f t="shared" si="4"/>
        <v>-0.11409395973154358</v>
      </c>
    </row>
    <row r="27" spans="1:15">
      <c r="A27" s="4" t="s">
        <v>8</v>
      </c>
      <c r="B27" s="155">
        <v>110.4</v>
      </c>
      <c r="C27" s="158"/>
      <c r="D27" s="1"/>
      <c r="F27" s="4" t="s">
        <v>8</v>
      </c>
      <c r="G27" s="160">
        <v>22.2</v>
      </c>
      <c r="H27" s="155"/>
      <c r="I27" s="1"/>
      <c r="K27" s="4" t="s">
        <v>8</v>
      </c>
      <c r="L27" s="161">
        <v>13.84</v>
      </c>
      <c r="M27" s="155"/>
      <c r="N27" s="1"/>
    </row>
    <row r="28" spans="1:15">
      <c r="A28" s="4" t="s">
        <v>9</v>
      </c>
      <c r="B28" s="155">
        <v>107.48</v>
      </c>
      <c r="C28" s="158"/>
      <c r="D28" s="1"/>
      <c r="F28" s="4" t="s">
        <v>9</v>
      </c>
      <c r="G28" s="160">
        <v>23.74</v>
      </c>
      <c r="H28" s="155"/>
      <c r="I28" s="1"/>
      <c r="K28" s="4" t="s">
        <v>9</v>
      </c>
      <c r="L28" s="161">
        <v>17.84</v>
      </c>
      <c r="M28" s="155"/>
      <c r="N28" s="1"/>
    </row>
    <row r="29" spans="1:15">
      <c r="A29" s="4" t="s">
        <v>10</v>
      </c>
      <c r="B29" s="155">
        <v>101.3</v>
      </c>
      <c r="C29" s="158"/>
      <c r="D29" s="1"/>
      <c r="F29" s="4" t="s">
        <v>10</v>
      </c>
      <c r="G29" s="160">
        <v>23.24</v>
      </c>
      <c r="H29" s="155"/>
      <c r="I29" s="1"/>
      <c r="K29" s="4" t="s">
        <v>10</v>
      </c>
      <c r="L29" s="161">
        <v>13.34</v>
      </c>
      <c r="M29" s="155"/>
      <c r="N29" s="1"/>
    </row>
    <row r="30" spans="1:15">
      <c r="A30" s="4" t="s">
        <v>11</v>
      </c>
      <c r="B30" s="155">
        <v>105.42</v>
      </c>
      <c r="C30" s="158"/>
      <c r="D30" s="1"/>
      <c r="F30" s="4" t="s">
        <v>11</v>
      </c>
      <c r="G30" s="160">
        <v>29.26</v>
      </c>
      <c r="H30" s="155"/>
      <c r="I30" s="1"/>
      <c r="K30" s="4" t="s">
        <v>11</v>
      </c>
      <c r="L30" s="161">
        <v>13.36</v>
      </c>
      <c r="M30" s="155"/>
      <c r="N30" s="1"/>
    </row>
    <row r="31" spans="1:15">
      <c r="A31" s="4" t="s">
        <v>12</v>
      </c>
      <c r="B31" s="155">
        <v>101.46</v>
      </c>
      <c r="C31" s="158"/>
      <c r="D31" s="1"/>
      <c r="F31" s="4" t="s">
        <v>12</v>
      </c>
      <c r="G31" s="160">
        <v>25.64</v>
      </c>
      <c r="H31" s="155"/>
      <c r="I31" s="1"/>
      <c r="K31" s="4" t="s">
        <v>12</v>
      </c>
      <c r="L31" s="161">
        <v>12.22</v>
      </c>
      <c r="M31" s="155"/>
      <c r="N31" s="1"/>
    </row>
    <row r="32" spans="1:15" ht="15.75" thickBot="1">
      <c r="A32" s="5" t="s">
        <v>13</v>
      </c>
      <c r="B32" s="155">
        <v>110.46</v>
      </c>
      <c r="C32" s="158"/>
      <c r="D32" s="1"/>
      <c r="F32" s="5" t="s">
        <v>13</v>
      </c>
      <c r="G32" s="160">
        <v>28.78</v>
      </c>
      <c r="H32" s="155"/>
      <c r="I32" s="1"/>
      <c r="K32" s="5" t="s">
        <v>13</v>
      </c>
      <c r="L32" s="161">
        <v>12.4</v>
      </c>
      <c r="M32" s="155"/>
      <c r="N32" s="1"/>
    </row>
    <row r="33" spans="1:15" ht="15.75" thickBot="1">
      <c r="A33" s="21" t="s">
        <v>4</v>
      </c>
      <c r="B33" s="156">
        <f>SUM(B21:B32)</f>
        <v>1218.26</v>
      </c>
      <c r="C33" s="11">
        <f>SUM(C21:C23)</f>
        <v>294.39999999999998</v>
      </c>
      <c r="D33" s="20">
        <f>(C33-B33)/B33</f>
        <v>-0.75834386748313165</v>
      </c>
      <c r="F33" s="21" t="s">
        <v>4</v>
      </c>
      <c r="G33" s="10">
        <f>SUM(G21:G32)</f>
        <v>293.56000000000006</v>
      </c>
      <c r="H33" s="11">
        <f>SUM(H21:H23)</f>
        <v>62.660000000000004</v>
      </c>
      <c r="I33" s="20">
        <f>(H33-G33)/G33</f>
        <v>-0.78655130126720263</v>
      </c>
      <c r="K33" s="21" t="s">
        <v>4</v>
      </c>
      <c r="L33" s="10">
        <f>SUM(L21:L32)</f>
        <v>146.12</v>
      </c>
      <c r="M33" s="11">
        <f>SUM(M21:M23)</f>
        <v>31.66</v>
      </c>
      <c r="N33" s="20">
        <f>(M33-L33)/L33</f>
        <v>-0.78332877087325492</v>
      </c>
    </row>
    <row r="36" spans="1:15" ht="15.75" thickBot="1">
      <c r="B36" s="190"/>
      <c r="C36" s="190"/>
      <c r="D36" s="190"/>
    </row>
    <row r="37" spans="1:15" ht="18.75">
      <c r="A37" s="46"/>
      <c r="B37" s="47"/>
      <c r="C37" s="47"/>
      <c r="D37" s="47"/>
      <c r="E37" s="176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>
      <c r="A38" s="90"/>
      <c r="B38" s="90"/>
      <c r="C38" s="73">
        <v>2019</v>
      </c>
      <c r="D38" s="74" t="s">
        <v>29</v>
      </c>
      <c r="E38" s="73">
        <v>2018</v>
      </c>
      <c r="F38" s="74" t="s">
        <v>29</v>
      </c>
      <c r="G38" s="73">
        <v>2017</v>
      </c>
      <c r="H38" s="74" t="s">
        <v>29</v>
      </c>
      <c r="I38" s="75">
        <v>2016</v>
      </c>
      <c r="J38" s="74" t="s">
        <v>29</v>
      </c>
      <c r="K38" s="75">
        <v>2015</v>
      </c>
      <c r="L38" s="74" t="s">
        <v>29</v>
      </c>
      <c r="M38" s="62">
        <v>2014</v>
      </c>
    </row>
    <row r="39" spans="1:15">
      <c r="A39" s="126" t="s">
        <v>70</v>
      </c>
      <c r="B39" s="67"/>
      <c r="C39" s="91">
        <v>1218260</v>
      </c>
      <c r="D39" s="77">
        <v>6.1258929184881863</v>
      </c>
      <c r="E39" s="91">
        <v>1147938.5157547796</v>
      </c>
      <c r="F39" s="77">
        <v>10.869085933434381</v>
      </c>
      <c r="G39" s="91">
        <v>1035400</v>
      </c>
      <c r="H39" s="77">
        <v>9.3093473533075741</v>
      </c>
      <c r="I39" s="91">
        <v>947220</v>
      </c>
      <c r="J39" s="77">
        <v>3.2032424658429757</v>
      </c>
      <c r="K39" s="91">
        <v>917820</v>
      </c>
      <c r="L39" s="76">
        <v>8.335694050991501</v>
      </c>
      <c r="M39" s="89">
        <v>847200</v>
      </c>
    </row>
    <row r="40" spans="1:15">
      <c r="A40" s="127" t="s">
        <v>47</v>
      </c>
      <c r="B40" s="68"/>
      <c r="C40" s="91">
        <v>14.736243664646612</v>
      </c>
      <c r="D40" s="77">
        <v>5.0886522720929834</v>
      </c>
      <c r="E40" s="91">
        <v>14.022678325431263</v>
      </c>
      <c r="F40" s="77">
        <v>10.174317343426049</v>
      </c>
      <c r="G40" s="91">
        <v>12.727719729563614</v>
      </c>
      <c r="H40" s="77">
        <v>9.4920894705792414</v>
      </c>
      <c r="I40" s="91">
        <v>11.624328105441425</v>
      </c>
      <c r="J40" s="77">
        <v>4.2924453782527667</v>
      </c>
      <c r="K40" s="91">
        <v>11.145896582711972</v>
      </c>
      <c r="L40" s="77">
        <v>9.7960275267717538</v>
      </c>
      <c r="M40" s="89">
        <v>10.151457055214724</v>
      </c>
    </row>
    <row r="41" spans="1:15">
      <c r="A41" s="128" t="s">
        <v>71</v>
      </c>
      <c r="B41" s="69"/>
      <c r="C41" s="92">
        <v>367</v>
      </c>
      <c r="D41" s="78">
        <v>-5.1679586563307494</v>
      </c>
      <c r="E41" s="92">
        <v>387</v>
      </c>
      <c r="F41" s="78">
        <v>2.3809523809523809</v>
      </c>
      <c r="G41" s="92">
        <v>378</v>
      </c>
      <c r="H41" s="78">
        <v>13.855421686746988</v>
      </c>
      <c r="I41" s="92">
        <v>332</v>
      </c>
      <c r="J41" s="78">
        <v>8.1433224755700326</v>
      </c>
      <c r="K41" s="92">
        <v>307</v>
      </c>
      <c r="L41" s="78">
        <v>18.532818532818531</v>
      </c>
      <c r="M41" s="64">
        <v>259</v>
      </c>
    </row>
    <row r="42" spans="1:15" ht="18.75">
      <c r="A42" s="46"/>
      <c r="B42" s="47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47"/>
      <c r="N42" s="47"/>
      <c r="O42" s="47"/>
    </row>
    <row r="43" spans="1:15" ht="15.75">
      <c r="A43" s="197" t="s">
        <v>73</v>
      </c>
      <c r="B43" s="198"/>
      <c r="C43" s="122">
        <v>2019</v>
      </c>
      <c r="D43" s="123" t="s">
        <v>29</v>
      </c>
      <c r="E43" s="177">
        <v>2018</v>
      </c>
      <c r="F43" s="123" t="s">
        <v>29</v>
      </c>
      <c r="G43" s="123">
        <v>2017</v>
      </c>
      <c r="H43" s="123" t="s">
        <v>29</v>
      </c>
      <c r="I43" s="123">
        <v>2016</v>
      </c>
      <c r="J43" s="123" t="s">
        <v>29</v>
      </c>
      <c r="K43" s="123">
        <v>2015</v>
      </c>
      <c r="L43" s="123" t="s">
        <v>29</v>
      </c>
      <c r="M43" s="123">
        <v>2014</v>
      </c>
    </row>
    <row r="44" spans="1:15">
      <c r="A44" s="191" t="s">
        <v>74</v>
      </c>
      <c r="B44" s="192"/>
      <c r="C44" s="130">
        <v>1218</v>
      </c>
      <c r="D44" s="131">
        <v>6</v>
      </c>
      <c r="E44" s="178">
        <f>1147938.51575478/1000</f>
        <v>1147.9385157547799</v>
      </c>
      <c r="F44" s="131">
        <v>10.869085933434381</v>
      </c>
      <c r="G44" s="137">
        <f>1035400/1000</f>
        <v>1035.4000000000001</v>
      </c>
      <c r="H44" s="130">
        <v>9.3093473533075741</v>
      </c>
      <c r="I44" s="132">
        <f>947220/1000</f>
        <v>947.22</v>
      </c>
      <c r="J44" s="131">
        <v>3.2032424658429757</v>
      </c>
      <c r="K44" s="130">
        <f>917820/1000</f>
        <v>917.82</v>
      </c>
      <c r="L44" s="131">
        <v>8.335694050991501</v>
      </c>
      <c r="M44" s="130">
        <f>847200/1000</f>
        <v>847.2</v>
      </c>
    </row>
    <row r="45" spans="1:15">
      <c r="A45" s="193" t="s">
        <v>77</v>
      </c>
      <c r="B45" s="194"/>
      <c r="C45" s="133">
        <v>146</v>
      </c>
      <c r="D45" s="134">
        <v>17</v>
      </c>
      <c r="E45" s="179">
        <f>124840/1000</f>
        <v>124.84</v>
      </c>
      <c r="F45" s="134">
        <v>9.1831380094455142</v>
      </c>
      <c r="G45" s="135">
        <f>114340/1000</f>
        <v>114.34</v>
      </c>
      <c r="H45" s="133">
        <v>12.197036600922383</v>
      </c>
      <c r="I45" s="136">
        <f>101910/1000</f>
        <v>101.91</v>
      </c>
      <c r="J45" s="134">
        <v>-4.6233036967711749</v>
      </c>
      <c r="K45" s="133">
        <f>106850/1000</f>
        <v>106.85</v>
      </c>
      <c r="L45" s="134">
        <v>8.0821363544406228</v>
      </c>
      <c r="M45" s="133">
        <f>98860/1000</f>
        <v>98.86</v>
      </c>
    </row>
    <row r="46" spans="1:15">
      <c r="A46" s="195" t="s">
        <v>75</v>
      </c>
      <c r="B46" s="196"/>
      <c r="C46" s="133">
        <v>293</v>
      </c>
      <c r="D46" s="134">
        <v>-2</v>
      </c>
      <c r="E46" s="179">
        <f>299880/1000</f>
        <v>299.88</v>
      </c>
      <c r="F46" s="134">
        <v>5.3467294316026139</v>
      </c>
      <c r="G46" s="135">
        <f>284660/1000</f>
        <v>284.66000000000003</v>
      </c>
      <c r="H46" s="138">
        <v>16.644812325848221</v>
      </c>
      <c r="I46" s="136">
        <f>244040/1000</f>
        <v>244.04</v>
      </c>
      <c r="J46" s="134">
        <v>-7.1808915259394492</v>
      </c>
      <c r="K46" s="133">
        <f>262920/1000</f>
        <v>262.92</v>
      </c>
      <c r="L46" s="134">
        <v>45.985563575791225</v>
      </c>
      <c r="M46" s="133">
        <f>180100/1000</f>
        <v>180.1</v>
      </c>
    </row>
    <row r="47" spans="1:15" ht="15.75">
      <c r="A47" s="172" t="s">
        <v>72</v>
      </c>
      <c r="B47" s="173"/>
      <c r="C47" s="124">
        <f>C44+C45+C46</f>
        <v>1657</v>
      </c>
      <c r="D47" s="125">
        <v>0.05</v>
      </c>
      <c r="E47" s="180">
        <f>E44+E45+E46</f>
        <v>1572.6585157547797</v>
      </c>
      <c r="F47" s="125">
        <v>0.1</v>
      </c>
      <c r="G47" s="124">
        <f>G44+G45+G46</f>
        <v>1434.4</v>
      </c>
      <c r="H47" s="125">
        <v>0.11</v>
      </c>
      <c r="I47" s="124">
        <f>I44+I45+I46</f>
        <v>1293.17</v>
      </c>
      <c r="J47" s="125">
        <v>0.01</v>
      </c>
      <c r="K47" s="124">
        <f>K44+K45+K46</f>
        <v>1287.5900000000001</v>
      </c>
      <c r="L47" s="125">
        <v>0.14334552816651275</v>
      </c>
      <c r="M47" s="124">
        <v>1126160</v>
      </c>
    </row>
    <row r="51" spans="1:7">
      <c r="A51" s="129" t="s">
        <v>76</v>
      </c>
    </row>
    <row r="52" spans="1:7" ht="15.75" thickBot="1"/>
    <row r="53" spans="1:7" ht="15.75" thickBot="1">
      <c r="A53" s="116"/>
      <c r="B53" s="116"/>
      <c r="C53" s="98">
        <v>2016</v>
      </c>
      <c r="D53" s="98">
        <v>2017</v>
      </c>
      <c r="E53" s="181">
        <v>2018</v>
      </c>
      <c r="F53" s="98">
        <v>2019</v>
      </c>
      <c r="G53" s="98">
        <v>2020</v>
      </c>
    </row>
    <row r="54" spans="1:7">
      <c r="A54" s="117" t="s">
        <v>33</v>
      </c>
      <c r="B54" s="52"/>
      <c r="C54" s="149">
        <v>15872</v>
      </c>
      <c r="D54" s="149">
        <v>12814</v>
      </c>
      <c r="E54" s="149">
        <v>13110.108174554394</v>
      </c>
      <c r="F54" s="150">
        <v>11862.314683584797</v>
      </c>
      <c r="G54" s="150"/>
    </row>
    <row r="55" spans="1:7">
      <c r="A55" s="118" t="s">
        <v>34</v>
      </c>
      <c r="B55" s="55"/>
      <c r="C55" s="150">
        <v>108870</v>
      </c>
      <c r="D55" s="150">
        <v>107605</v>
      </c>
      <c r="E55" s="150">
        <v>125598.32787850848</v>
      </c>
      <c r="F55" s="150">
        <v>124403.30361802776</v>
      </c>
      <c r="G55" s="150"/>
    </row>
    <row r="56" spans="1:7">
      <c r="A56" s="118" t="s">
        <v>35</v>
      </c>
      <c r="B56" s="55"/>
      <c r="C56" s="150">
        <v>87257</v>
      </c>
      <c r="D56" s="150">
        <v>88120</v>
      </c>
      <c r="E56" s="150">
        <v>94121.125742675664</v>
      </c>
      <c r="F56" s="150">
        <v>101425.4272359665</v>
      </c>
      <c r="G56" s="150"/>
    </row>
    <row r="57" spans="1:7">
      <c r="A57" s="118" t="s">
        <v>36</v>
      </c>
      <c r="B57" s="55"/>
      <c r="C57" s="150">
        <v>26476</v>
      </c>
      <c r="D57" s="150">
        <v>25258</v>
      </c>
      <c r="E57" s="150">
        <v>23875</v>
      </c>
      <c r="F57" s="150">
        <v>23001.771040057323</v>
      </c>
      <c r="G57" s="150"/>
    </row>
    <row r="58" spans="1:7">
      <c r="A58" s="118" t="s">
        <v>37</v>
      </c>
      <c r="B58" s="55"/>
      <c r="C58" s="150">
        <v>9433</v>
      </c>
      <c r="D58" s="150">
        <v>10887</v>
      </c>
      <c r="E58" s="150">
        <v>12474</v>
      </c>
      <c r="F58" s="150">
        <v>12412.111143178578</v>
      </c>
      <c r="G58" s="150"/>
    </row>
    <row r="59" spans="1:7">
      <c r="A59" s="118" t="s">
        <v>38</v>
      </c>
      <c r="B59" s="55"/>
      <c r="C59" s="150">
        <v>286230</v>
      </c>
      <c r="D59" s="150">
        <v>358715</v>
      </c>
      <c r="E59" s="150">
        <v>364748.99262446223</v>
      </c>
      <c r="F59" s="150">
        <v>408844.31085814576</v>
      </c>
      <c r="G59" s="150"/>
    </row>
    <row r="60" spans="1:7">
      <c r="A60" s="118" t="s">
        <v>39</v>
      </c>
      <c r="B60" s="55"/>
      <c r="C60" s="150">
        <v>46785</v>
      </c>
      <c r="D60" s="150">
        <v>46095</v>
      </c>
      <c r="E60" s="150">
        <v>48117.819299323914</v>
      </c>
      <c r="F60" s="150">
        <v>47155.499607399368</v>
      </c>
      <c r="G60" s="150"/>
    </row>
    <row r="61" spans="1:7">
      <c r="A61" s="118" t="s">
        <v>40</v>
      </c>
      <c r="B61" s="55"/>
      <c r="C61" s="150">
        <v>58938</v>
      </c>
      <c r="D61" s="150">
        <v>69991</v>
      </c>
      <c r="E61" s="150">
        <v>80987.284480359202</v>
      </c>
      <c r="F61" s="150">
        <v>93637.348308651213</v>
      </c>
      <c r="G61" s="150"/>
    </row>
    <row r="62" spans="1:7">
      <c r="A62" s="118" t="s">
        <v>41</v>
      </c>
      <c r="B62" s="55"/>
      <c r="C62" s="150">
        <v>10743</v>
      </c>
      <c r="D62" s="150">
        <v>16827</v>
      </c>
      <c r="E62" s="150">
        <v>24748.150885885025</v>
      </c>
      <c r="F62" s="150">
        <v>29936.552183168089</v>
      </c>
      <c r="G62" s="150"/>
    </row>
    <row r="63" spans="1:7">
      <c r="A63" s="118" t="s">
        <v>42</v>
      </c>
      <c r="B63" s="55"/>
      <c r="C63" s="150">
        <v>26409</v>
      </c>
      <c r="D63" s="150">
        <v>23517</v>
      </c>
      <c r="E63" s="150">
        <v>29393.304273754056</v>
      </c>
      <c r="F63" s="150">
        <v>28353.847854990654</v>
      </c>
      <c r="G63" s="150"/>
    </row>
    <row r="64" spans="1:7">
      <c r="A64" s="118" t="s">
        <v>43</v>
      </c>
      <c r="B64" s="55"/>
      <c r="C64" s="150">
        <v>40246</v>
      </c>
      <c r="D64" s="150">
        <v>35710</v>
      </c>
      <c r="E64" s="150">
        <v>40049.474736788114</v>
      </c>
      <c r="F64" s="150">
        <v>37264.637990719471</v>
      </c>
      <c r="G64" s="150"/>
    </row>
    <row r="65" spans="1:7">
      <c r="A65" s="118" t="s">
        <v>44</v>
      </c>
      <c r="B65" s="55"/>
      <c r="C65" s="150">
        <v>186524</v>
      </c>
      <c r="D65" s="150">
        <v>185787</v>
      </c>
      <c r="E65" s="150">
        <v>221034.03883748231</v>
      </c>
      <c r="F65" s="150">
        <v>218914.65671497976</v>
      </c>
      <c r="G65" s="150"/>
    </row>
    <row r="66" spans="1:7">
      <c r="A66" s="118" t="s">
        <v>45</v>
      </c>
      <c r="B66" s="55"/>
      <c r="C66" s="150">
        <v>24558</v>
      </c>
      <c r="D66" s="150">
        <v>31148</v>
      </c>
      <c r="E66" s="150">
        <v>39775.945432728811</v>
      </c>
      <c r="F66" s="150">
        <v>49007.281625039592</v>
      </c>
      <c r="G66" s="150"/>
    </row>
    <row r="67" spans="1:7" ht="15.75" thickBot="1">
      <c r="A67" s="119" t="s">
        <v>46</v>
      </c>
      <c r="B67" s="57"/>
      <c r="C67" s="151">
        <v>18879</v>
      </c>
      <c r="D67" s="151">
        <v>22926</v>
      </c>
      <c r="E67" s="151">
        <v>29904.943388257445</v>
      </c>
      <c r="F67" s="151">
        <v>32040.937136091154</v>
      </c>
      <c r="G67" s="151"/>
    </row>
    <row r="68" spans="1:7" ht="15.75" thickBot="1">
      <c r="A68" s="120"/>
      <c r="B68" s="120"/>
      <c r="C68" s="152"/>
      <c r="D68" s="152"/>
      <c r="E68" s="152"/>
      <c r="F68" s="152"/>
      <c r="G68" s="152"/>
    </row>
    <row r="69" spans="1:7" ht="15.75" thickBot="1">
      <c r="A69" s="199" t="s">
        <v>81</v>
      </c>
      <c r="B69" s="200"/>
      <c r="C69" s="153">
        <f>SUM(C54:C67)/1000</f>
        <v>947.22</v>
      </c>
      <c r="D69" s="153">
        <f>SUM(D54:D67)/1000</f>
        <v>1035.4000000000001</v>
      </c>
      <c r="E69" s="153">
        <f>SUM(E54:E67)/1000</f>
        <v>1147.9385157547795</v>
      </c>
      <c r="F69" s="153">
        <f>SUM(F54:F67)/1000</f>
        <v>1218.26</v>
      </c>
      <c r="G69" s="153">
        <f>SUM(G54:G67)/1000</f>
        <v>0</v>
      </c>
    </row>
  </sheetData>
  <mergeCells count="11">
    <mergeCell ref="A46:B46"/>
    <mergeCell ref="A43:B43"/>
    <mergeCell ref="A69:B69"/>
    <mergeCell ref="B2:D2"/>
    <mergeCell ref="B3:D3"/>
    <mergeCell ref="B19:D19"/>
    <mergeCell ref="L19:N19"/>
    <mergeCell ref="G19:I19"/>
    <mergeCell ref="A44:B44"/>
    <mergeCell ref="B36:D36"/>
    <mergeCell ref="A45:B45"/>
  </mergeCells>
  <pageMargins left="0.1" right="7158278.8200000003" top="0.6" bottom="0.31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95" zoomScaleNormal="95" workbookViewId="0">
      <selection activeCell="F23" sqref="F23"/>
    </sheetView>
  </sheetViews>
  <sheetFormatPr baseColWidth="10" defaultRowHeight="15"/>
  <cols>
    <col min="1" max="1" width="15.42578125" customWidth="1"/>
    <col min="2" max="2" width="13.85546875" customWidth="1"/>
    <col min="4" max="4" width="9.5703125" customWidth="1"/>
    <col min="5" max="5" width="10.7109375" customWidth="1"/>
    <col min="6" max="6" width="8.7109375" customWidth="1"/>
    <col min="7" max="7" width="9.7109375" customWidth="1"/>
    <col min="8" max="8" width="8.5703125" customWidth="1"/>
    <col min="10" max="10" width="8.5703125" customWidth="1"/>
    <col min="11" max="11" width="11.140625" customWidth="1"/>
    <col min="12" max="12" width="8.5703125" customWidth="1"/>
    <col min="14" max="14" width="14.28515625" customWidth="1"/>
  </cols>
  <sheetData>
    <row r="1" spans="1:6" ht="15.75">
      <c r="A1" s="28" t="s">
        <v>21</v>
      </c>
    </row>
    <row r="3" spans="1:6" ht="15.75" thickBot="1"/>
    <row r="4" spans="1:6" ht="15.75" thickBot="1">
      <c r="B4" s="184" t="s">
        <v>17</v>
      </c>
      <c r="C4" s="185"/>
      <c r="D4" s="186"/>
    </row>
    <row r="5" spans="1:6">
      <c r="B5" s="184" t="s">
        <v>20</v>
      </c>
      <c r="C5" s="185"/>
      <c r="D5" s="186"/>
    </row>
    <row r="6" spans="1:6" ht="15.75" thickBot="1">
      <c r="B6" s="7">
        <v>2019</v>
      </c>
      <c r="C6" s="8">
        <v>2020</v>
      </c>
      <c r="D6" s="9" t="s">
        <v>3</v>
      </c>
    </row>
    <row r="7" spans="1:6">
      <c r="A7" s="17" t="s">
        <v>0</v>
      </c>
      <c r="B7" s="168">
        <f xml:space="preserve"> [3]Vidrio!$D$102/1000</f>
        <v>193.84</v>
      </c>
      <c r="C7" s="157">
        <v>214.28</v>
      </c>
      <c r="D7" s="16">
        <f>(C7-B7)/B7</f>
        <v>0.1054477919933966</v>
      </c>
    </row>
    <row r="8" spans="1:6">
      <c r="A8" s="18" t="s">
        <v>1</v>
      </c>
      <c r="B8" s="169">
        <f>[3]Vidrio!$E$102/1000</f>
        <v>128.34</v>
      </c>
      <c r="C8" s="158">
        <v>166.08</v>
      </c>
      <c r="D8" s="1">
        <f>(C8-B8)/B8</f>
        <v>0.29406264609630672</v>
      </c>
    </row>
    <row r="9" spans="1:6">
      <c r="A9" s="18" t="s">
        <v>2</v>
      </c>
      <c r="B9" s="169">
        <f>[3]Vidrio!$F$102/1000</f>
        <v>165.54</v>
      </c>
      <c r="C9" s="158">
        <v>199.3</v>
      </c>
      <c r="D9" s="1">
        <f>(C9-B9)/B9</f>
        <v>0.20393862510571475</v>
      </c>
      <c r="E9" s="171" t="s">
        <v>82</v>
      </c>
      <c r="F9" s="171" t="s">
        <v>83</v>
      </c>
    </row>
    <row r="10" spans="1:6">
      <c r="A10" s="18" t="s">
        <v>5</v>
      </c>
      <c r="B10" s="169">
        <f>[3]Vidrio!$G$102/1000</f>
        <v>189.84</v>
      </c>
      <c r="C10" s="158">
        <v>89.12</v>
      </c>
      <c r="D10" s="1">
        <f>(C10-B10)/B10</f>
        <v>-0.5305520438263801</v>
      </c>
      <c r="E10" s="159">
        <f>((C7+C8+C9+C10)-(B7+B8+B9+B10))/(B7+B8+B9+B10)</f>
        <v>-1.2958261998937322E-2</v>
      </c>
      <c r="F10" s="159">
        <f>(C10-C9)/C9</f>
        <v>-0.55283492222779729</v>
      </c>
    </row>
    <row r="11" spans="1:6">
      <c r="A11" s="18" t="s">
        <v>6</v>
      </c>
      <c r="B11" s="169">
        <f>[3]Vidrio!$H$102/1000</f>
        <v>128.19999999999999</v>
      </c>
      <c r="C11" s="158"/>
      <c r="D11" s="1"/>
    </row>
    <row r="12" spans="1:6">
      <c r="A12" s="18" t="s">
        <v>7</v>
      </c>
      <c r="B12" s="169">
        <f>[3]Vidrio!$I$102/1000</f>
        <v>113.6</v>
      </c>
      <c r="C12" s="158"/>
      <c r="D12" s="1"/>
    </row>
    <row r="13" spans="1:6">
      <c r="A13" s="18" t="s">
        <v>8</v>
      </c>
      <c r="B13" s="169">
        <f>[3]Vidrio!$J$102/1000</f>
        <v>128.56</v>
      </c>
      <c r="C13" s="158"/>
      <c r="D13" s="1"/>
    </row>
    <row r="14" spans="1:6">
      <c r="A14" s="18" t="s">
        <v>9</v>
      </c>
      <c r="B14" s="169">
        <f>[3]Vidrio!$K$102/1000</f>
        <v>202.38</v>
      </c>
      <c r="C14" s="158"/>
      <c r="D14" s="1"/>
    </row>
    <row r="15" spans="1:6">
      <c r="A15" s="18" t="s">
        <v>10</v>
      </c>
      <c r="B15" s="169">
        <f>[3]Vidrio!$L$102/1000</f>
        <v>143.91999999999999</v>
      </c>
      <c r="C15" s="158"/>
      <c r="D15" s="1"/>
    </row>
    <row r="16" spans="1:6">
      <c r="A16" s="18" t="s">
        <v>11</v>
      </c>
      <c r="B16" s="169">
        <f>[3]Vidrio!$M$102/1000</f>
        <v>159.96</v>
      </c>
      <c r="C16" s="158"/>
      <c r="D16" s="1"/>
    </row>
    <row r="17" spans="1:13">
      <c r="A17" s="18" t="s">
        <v>12</v>
      </c>
      <c r="B17" s="169">
        <f>[3]Vidrio!$N$102/1000</f>
        <v>122.86</v>
      </c>
      <c r="C17" s="158"/>
      <c r="D17" s="1"/>
    </row>
    <row r="18" spans="1:13" ht="15.75" thickBot="1">
      <c r="A18" s="19" t="s">
        <v>13</v>
      </c>
      <c r="B18" s="170">
        <f>[3]Vidrio!$O$102/1000</f>
        <v>195.68</v>
      </c>
      <c r="C18" s="158"/>
      <c r="D18" s="1"/>
    </row>
    <row r="19" spans="1:13" ht="15.75" thickBot="1">
      <c r="A19" s="21" t="s">
        <v>4</v>
      </c>
      <c r="B19" s="38">
        <f>SUM(B7:B18)</f>
        <v>1872.7200000000003</v>
      </c>
      <c r="C19" s="167">
        <f>SUM(C7:C9)</f>
        <v>579.66000000000008</v>
      </c>
      <c r="D19" s="37">
        <f>(C19-B19)/B19</f>
        <v>-0.69047161348199415</v>
      </c>
    </row>
    <row r="26" spans="1:13" ht="18.75">
      <c r="A26" s="46" t="s">
        <v>50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7"/>
      <c r="M26" s="47"/>
    </row>
    <row r="27" spans="1:13" ht="18.7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>
      <c r="A28" s="49"/>
      <c r="B28" s="49"/>
      <c r="C28" s="50">
        <v>2019</v>
      </c>
      <c r="D28" s="51" t="s">
        <v>29</v>
      </c>
      <c r="E28" s="50">
        <v>2018</v>
      </c>
      <c r="F28" s="51" t="s">
        <v>29</v>
      </c>
      <c r="G28" s="50">
        <v>2017</v>
      </c>
      <c r="H28" s="51" t="s">
        <v>29</v>
      </c>
      <c r="I28" s="51">
        <v>2016</v>
      </c>
      <c r="J28" s="51" t="s">
        <v>29</v>
      </c>
      <c r="K28" s="51">
        <v>2015</v>
      </c>
      <c r="L28" s="51" t="s">
        <v>29</v>
      </c>
      <c r="M28" s="51">
        <v>2014</v>
      </c>
    </row>
    <row r="29" spans="1:13">
      <c r="A29" s="39" t="s">
        <v>30</v>
      </c>
      <c r="B29" s="52"/>
      <c r="C29" s="53">
        <v>1872720</v>
      </c>
      <c r="D29" s="54">
        <v>-0.4285456034198577</v>
      </c>
      <c r="E29" s="53">
        <v>1880780</v>
      </c>
      <c r="F29" s="54">
        <v>5.029261972837741</v>
      </c>
      <c r="G29" s="53">
        <v>1790720</v>
      </c>
      <c r="H29" s="54">
        <v>7.2833478117604766</v>
      </c>
      <c r="I29" s="53">
        <v>1669150</v>
      </c>
      <c r="J29" s="54">
        <v>9.6083544398557841</v>
      </c>
      <c r="K29" s="53">
        <v>1522830.9999999998</v>
      </c>
      <c r="L29" s="54">
        <v>4.7446402691885048</v>
      </c>
      <c r="M29" s="53">
        <v>1453851</v>
      </c>
    </row>
    <row r="30" spans="1:13">
      <c r="A30" s="40" t="s">
        <v>31</v>
      </c>
      <c r="B30" s="55"/>
      <c r="C30" s="56">
        <v>22.652683528685998</v>
      </c>
      <c r="D30" s="54">
        <v>-1.4017252571368295</v>
      </c>
      <c r="E30" s="56">
        <v>22.974726066721228</v>
      </c>
      <c r="F30" s="54">
        <v>4.5455754262445316</v>
      </c>
      <c r="G30" s="56">
        <v>21.975799523844586</v>
      </c>
      <c r="H30" s="54">
        <v>7.2833478117604651</v>
      </c>
      <c r="I30" s="56">
        <v>20.483886802640946</v>
      </c>
      <c r="J30" s="54">
        <v>10.765156649048464</v>
      </c>
      <c r="K30" s="56">
        <v>18.493077988001847</v>
      </c>
      <c r="L30" s="54">
        <v>6.1565673901027198</v>
      </c>
      <c r="M30" s="56">
        <v>17.420568922546011</v>
      </c>
    </row>
    <row r="31" spans="1:13">
      <c r="A31" s="41" t="s">
        <v>32</v>
      </c>
      <c r="B31" s="57"/>
      <c r="C31" s="58">
        <v>594</v>
      </c>
      <c r="D31" s="45">
        <v>0.50761421319796951</v>
      </c>
      <c r="E31" s="58">
        <v>591</v>
      </c>
      <c r="F31" s="45">
        <v>1.0256410256410255</v>
      </c>
      <c r="G31" s="58">
        <v>585</v>
      </c>
      <c r="H31" s="45">
        <v>0</v>
      </c>
      <c r="I31" s="58">
        <v>585</v>
      </c>
      <c r="J31" s="45">
        <v>2.2727272727272729</v>
      </c>
      <c r="K31" s="58">
        <v>572</v>
      </c>
      <c r="L31" s="45">
        <v>4</v>
      </c>
      <c r="M31" s="58">
        <v>550</v>
      </c>
    </row>
    <row r="32" spans="1:13" ht="15.75">
      <c r="A32" s="5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5" ht="15.75">
      <c r="A33" s="5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5" ht="30" customHeight="1">
      <c r="B34" s="201" t="s">
        <v>52</v>
      </c>
      <c r="C34" s="202"/>
      <c r="D34" s="202"/>
      <c r="E34" s="202"/>
      <c r="F34" s="202"/>
      <c r="G34" s="202"/>
      <c r="H34" s="202"/>
    </row>
    <row r="35" spans="1:15" ht="15.75" thickBot="1"/>
    <row r="36" spans="1:15" ht="15.75" thickBot="1">
      <c r="A36" s="98" t="s">
        <v>53</v>
      </c>
      <c r="B36" s="98">
        <v>2010</v>
      </c>
      <c r="C36" s="98">
        <v>2011</v>
      </c>
      <c r="D36" s="98">
        <v>2012</v>
      </c>
      <c r="E36" s="98">
        <v>2013</v>
      </c>
      <c r="F36" s="98">
        <v>2014</v>
      </c>
      <c r="G36" s="98">
        <v>2015</v>
      </c>
      <c r="H36" s="98">
        <v>2016</v>
      </c>
      <c r="I36" s="98">
        <v>2017</v>
      </c>
      <c r="J36" s="98">
        <v>2018</v>
      </c>
      <c r="K36" s="99">
        <v>2019</v>
      </c>
    </row>
    <row r="37" spans="1:15">
      <c r="A37" s="110" t="s">
        <v>54</v>
      </c>
      <c r="B37" s="104">
        <v>39600</v>
      </c>
      <c r="C37" s="104">
        <v>33380</v>
      </c>
      <c r="D37" s="104">
        <v>40244</v>
      </c>
      <c r="E37" s="104">
        <v>44048</v>
      </c>
      <c r="F37" s="104">
        <v>31200</v>
      </c>
      <c r="G37" s="104">
        <v>38393</v>
      </c>
      <c r="H37" s="104">
        <v>42350</v>
      </c>
      <c r="I37" s="104">
        <v>45970</v>
      </c>
      <c r="J37" s="105">
        <v>34740</v>
      </c>
      <c r="K37" s="101">
        <v>42.84</v>
      </c>
    </row>
    <row r="38" spans="1:15">
      <c r="A38" s="111" t="s">
        <v>55</v>
      </c>
      <c r="B38" s="106">
        <v>98220</v>
      </c>
      <c r="C38" s="106">
        <v>90520</v>
      </c>
      <c r="D38" s="106">
        <v>108957</v>
      </c>
      <c r="E38" s="106">
        <v>88745</v>
      </c>
      <c r="F38" s="106">
        <v>85688</v>
      </c>
      <c r="G38" s="106">
        <v>102573</v>
      </c>
      <c r="H38" s="106">
        <v>97210</v>
      </c>
      <c r="I38" s="106">
        <v>113150</v>
      </c>
      <c r="J38" s="107">
        <v>122690</v>
      </c>
      <c r="K38" s="102">
        <v>122.02</v>
      </c>
    </row>
    <row r="39" spans="1:15">
      <c r="A39" s="111" t="s">
        <v>56</v>
      </c>
      <c r="B39" s="106">
        <v>151320</v>
      </c>
      <c r="C39" s="106">
        <v>134280</v>
      </c>
      <c r="D39" s="106">
        <v>160539</v>
      </c>
      <c r="E39" s="106">
        <v>132468</v>
      </c>
      <c r="F39" s="106">
        <v>138211</v>
      </c>
      <c r="G39" s="106">
        <v>133941</v>
      </c>
      <c r="H39" s="106">
        <v>164940</v>
      </c>
      <c r="I39" s="106">
        <v>182790</v>
      </c>
      <c r="J39" s="107">
        <v>192060</v>
      </c>
      <c r="K39" s="102">
        <v>206.91</v>
      </c>
    </row>
    <row r="40" spans="1:15">
      <c r="A40" s="111" t="s">
        <v>57</v>
      </c>
      <c r="B40" s="106">
        <v>77070</v>
      </c>
      <c r="C40" s="106">
        <v>60020</v>
      </c>
      <c r="D40" s="106">
        <v>64003</v>
      </c>
      <c r="E40" s="106">
        <v>70742</v>
      </c>
      <c r="F40" s="106">
        <v>82383</v>
      </c>
      <c r="G40" s="106">
        <v>97021</v>
      </c>
      <c r="H40" s="106">
        <v>100060</v>
      </c>
      <c r="I40" s="106">
        <v>105260</v>
      </c>
      <c r="J40" s="107">
        <v>109950</v>
      </c>
      <c r="K40" s="102">
        <v>108.92</v>
      </c>
    </row>
    <row r="41" spans="1:15">
      <c r="A41" s="111" t="s">
        <v>58</v>
      </c>
      <c r="B41" s="106">
        <v>41720</v>
      </c>
      <c r="C41" s="106">
        <v>38660</v>
      </c>
      <c r="D41" s="106">
        <v>47129</v>
      </c>
      <c r="E41" s="106">
        <v>41461</v>
      </c>
      <c r="F41" s="106">
        <v>32563</v>
      </c>
      <c r="G41" s="106">
        <v>39138</v>
      </c>
      <c r="H41" s="106">
        <v>41280</v>
      </c>
      <c r="I41" s="106">
        <v>49780</v>
      </c>
      <c r="J41" s="107">
        <v>44730</v>
      </c>
      <c r="K41" s="102">
        <v>42.04</v>
      </c>
      <c r="O41" s="47"/>
    </row>
    <row r="42" spans="1:15">
      <c r="A42" s="111" t="s">
        <v>59</v>
      </c>
      <c r="B42" s="106">
        <v>386010</v>
      </c>
      <c r="C42" s="106">
        <v>353270</v>
      </c>
      <c r="D42" s="106">
        <v>416845</v>
      </c>
      <c r="E42" s="106">
        <v>382571</v>
      </c>
      <c r="F42" s="106">
        <v>394260</v>
      </c>
      <c r="G42" s="106">
        <v>403168</v>
      </c>
      <c r="H42" s="106">
        <v>434690</v>
      </c>
      <c r="I42" s="106">
        <v>409050</v>
      </c>
      <c r="J42" s="107">
        <v>458970</v>
      </c>
      <c r="K42" s="102">
        <v>429.57</v>
      </c>
      <c r="L42" s="95"/>
      <c r="M42" s="95"/>
      <c r="N42" s="95"/>
      <c r="O42" s="47"/>
    </row>
    <row r="43" spans="1:15" ht="15.75" customHeight="1">
      <c r="A43" s="111" t="s">
        <v>60</v>
      </c>
      <c r="B43" s="106">
        <v>166170</v>
      </c>
      <c r="C43" s="106">
        <v>155570</v>
      </c>
      <c r="D43" s="106">
        <v>161524</v>
      </c>
      <c r="E43" s="106">
        <v>136801</v>
      </c>
      <c r="F43" s="106">
        <v>135076</v>
      </c>
      <c r="G43" s="106">
        <v>149848</v>
      </c>
      <c r="H43" s="106">
        <v>169900</v>
      </c>
      <c r="I43" s="106">
        <v>168540</v>
      </c>
      <c r="J43" s="107">
        <v>212620</v>
      </c>
      <c r="K43" s="102">
        <v>198.15</v>
      </c>
      <c r="L43" s="95"/>
      <c r="M43" s="95"/>
      <c r="N43" s="95"/>
      <c r="O43" s="47"/>
    </row>
    <row r="44" spans="1:15">
      <c r="A44" s="111" t="s">
        <v>61</v>
      </c>
      <c r="B44" s="106">
        <v>49300</v>
      </c>
      <c r="C44" s="106">
        <v>45780</v>
      </c>
      <c r="D44" s="106">
        <v>36370</v>
      </c>
      <c r="E44" s="106">
        <v>46553</v>
      </c>
      <c r="F44" s="106">
        <v>41102</v>
      </c>
      <c r="G44" s="106">
        <v>37994</v>
      </c>
      <c r="H44" s="106">
        <v>54240</v>
      </c>
      <c r="I44" s="106">
        <v>59450</v>
      </c>
      <c r="J44" s="107">
        <v>55820</v>
      </c>
      <c r="K44" s="102">
        <v>53.88</v>
      </c>
      <c r="L44" s="95"/>
      <c r="M44" s="95"/>
      <c r="N44" s="95"/>
      <c r="O44" s="47"/>
    </row>
    <row r="45" spans="1:15">
      <c r="A45" s="111" t="s">
        <v>62</v>
      </c>
      <c r="B45" s="106">
        <v>38440</v>
      </c>
      <c r="C45" s="106">
        <v>35790</v>
      </c>
      <c r="D45" s="106">
        <v>47617</v>
      </c>
      <c r="E45" s="106">
        <v>32313</v>
      </c>
      <c r="F45" s="106">
        <v>25198</v>
      </c>
      <c r="G45" s="106">
        <v>33983</v>
      </c>
      <c r="H45" s="106">
        <v>39700</v>
      </c>
      <c r="I45" s="106">
        <v>48110</v>
      </c>
      <c r="J45" s="107">
        <v>52190</v>
      </c>
      <c r="K45" s="102">
        <v>51.05</v>
      </c>
      <c r="L45" s="95"/>
      <c r="M45" s="95"/>
      <c r="N45" s="95"/>
      <c r="O45" s="47"/>
    </row>
    <row r="46" spans="1:15">
      <c r="A46" s="111" t="s">
        <v>63</v>
      </c>
      <c r="B46" s="106">
        <v>76750</v>
      </c>
      <c r="C46" s="106">
        <v>70210</v>
      </c>
      <c r="D46" s="106">
        <v>81304</v>
      </c>
      <c r="E46" s="106">
        <v>57596</v>
      </c>
      <c r="F46" s="106">
        <v>67153</v>
      </c>
      <c r="G46" s="106">
        <v>70674</v>
      </c>
      <c r="H46" s="106">
        <v>61530</v>
      </c>
      <c r="I46" s="106">
        <v>67620</v>
      </c>
      <c r="J46" s="107">
        <v>77810</v>
      </c>
      <c r="K46" s="102">
        <v>70.260000000000005</v>
      </c>
      <c r="L46" s="95"/>
      <c r="M46" s="95"/>
      <c r="N46" s="95"/>
      <c r="O46" s="47"/>
    </row>
    <row r="47" spans="1:15">
      <c r="A47" s="111" t="s">
        <v>64</v>
      </c>
      <c r="B47" s="106">
        <v>220230</v>
      </c>
      <c r="C47" s="106">
        <v>192280</v>
      </c>
      <c r="D47" s="106">
        <v>229828</v>
      </c>
      <c r="E47" s="106">
        <v>191436</v>
      </c>
      <c r="F47" s="106">
        <v>188336</v>
      </c>
      <c r="G47" s="106">
        <v>172519</v>
      </c>
      <c r="H47" s="106">
        <v>214140</v>
      </c>
      <c r="I47" s="106">
        <v>270200</v>
      </c>
      <c r="J47" s="107">
        <v>224560</v>
      </c>
      <c r="K47" s="102">
        <v>248.55</v>
      </c>
      <c r="L47" s="95"/>
      <c r="M47" s="95"/>
      <c r="N47" s="95"/>
      <c r="O47" s="47"/>
    </row>
    <row r="48" spans="1:15">
      <c r="A48" s="111" t="s">
        <v>65</v>
      </c>
      <c r="B48" s="106">
        <v>108830</v>
      </c>
      <c r="C48" s="106">
        <v>95420</v>
      </c>
      <c r="D48" s="106">
        <v>97078</v>
      </c>
      <c r="E48" s="106">
        <v>91370</v>
      </c>
      <c r="F48" s="106">
        <v>98784</v>
      </c>
      <c r="G48" s="106">
        <v>124174</v>
      </c>
      <c r="H48" s="106">
        <v>104550</v>
      </c>
      <c r="I48" s="106">
        <v>122050</v>
      </c>
      <c r="J48" s="107">
        <v>137920</v>
      </c>
      <c r="K48" s="102">
        <v>140.18</v>
      </c>
      <c r="L48" s="95"/>
      <c r="M48" s="95"/>
      <c r="N48" s="95"/>
      <c r="O48" s="47"/>
    </row>
    <row r="49" spans="1:13">
      <c r="A49" s="111" t="s">
        <v>66</v>
      </c>
      <c r="B49" s="106">
        <v>71550</v>
      </c>
      <c r="C49" s="106">
        <v>62050</v>
      </c>
      <c r="D49" s="106">
        <v>55518</v>
      </c>
      <c r="E49" s="106">
        <v>59370</v>
      </c>
      <c r="F49" s="106">
        <v>59517</v>
      </c>
      <c r="G49" s="106">
        <v>65517</v>
      </c>
      <c r="H49" s="106">
        <v>75850</v>
      </c>
      <c r="I49" s="106">
        <v>89830</v>
      </c>
      <c r="J49" s="107">
        <v>78630</v>
      </c>
      <c r="K49" s="102">
        <v>97.39</v>
      </c>
      <c r="L49" s="47"/>
      <c r="M49" s="95"/>
    </row>
    <row r="50" spans="1:13" ht="15.75" thickBot="1">
      <c r="A50" s="112" t="s">
        <v>67</v>
      </c>
      <c r="B50" s="108">
        <v>77010</v>
      </c>
      <c r="C50" s="108">
        <v>66010</v>
      </c>
      <c r="D50" s="108">
        <v>102480</v>
      </c>
      <c r="E50" s="108">
        <v>85146</v>
      </c>
      <c r="F50" s="108">
        <v>74380</v>
      </c>
      <c r="G50" s="108">
        <v>53889</v>
      </c>
      <c r="H50" s="108">
        <v>68710</v>
      </c>
      <c r="I50" s="108">
        <v>58920</v>
      </c>
      <c r="J50" s="109">
        <v>78090</v>
      </c>
      <c r="K50" s="103">
        <v>60.96</v>
      </c>
      <c r="L50" s="47"/>
      <c r="M50" s="47"/>
    </row>
    <row r="51" spans="1:13" ht="15.75" thickBo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3" ht="27" customHeight="1">
      <c r="A52" s="113" t="s">
        <v>68</v>
      </c>
      <c r="B52" s="139">
        <f>SUM(B37:B50)/1000</f>
        <v>1602.22</v>
      </c>
      <c r="C52" s="139">
        <f>SUM(C37:C50)/1000</f>
        <v>1433.24</v>
      </c>
      <c r="D52" s="139">
        <f>SUM(D37:D50)/1000</f>
        <v>1649.4359999999999</v>
      </c>
      <c r="E52" s="139">
        <f t="shared" ref="E52:J52" si="0">SUM(E37:E50)/1000</f>
        <v>1460.62</v>
      </c>
      <c r="F52" s="139">
        <f t="shared" si="0"/>
        <v>1453.8510000000001</v>
      </c>
      <c r="G52" s="139">
        <f t="shared" si="0"/>
        <v>1522.8320000000001</v>
      </c>
      <c r="H52" s="139">
        <f t="shared" si="0"/>
        <v>1669.15</v>
      </c>
      <c r="I52" s="139">
        <f t="shared" si="0"/>
        <v>1790.72</v>
      </c>
      <c r="J52" s="139">
        <f t="shared" si="0"/>
        <v>1880.78</v>
      </c>
      <c r="K52" s="139">
        <f>SUM(K37:K50)</f>
        <v>1872.7200000000003</v>
      </c>
    </row>
    <row r="53" spans="1:13">
      <c r="A53" s="114" t="s">
        <v>69</v>
      </c>
      <c r="B53" s="97"/>
      <c r="C53" s="97"/>
      <c r="D53" s="97"/>
      <c r="E53" s="115"/>
      <c r="F53" s="140">
        <v>147</v>
      </c>
      <c r="G53" s="140">
        <v>123</v>
      </c>
      <c r="H53" s="140">
        <v>125</v>
      </c>
      <c r="I53" s="140">
        <v>142</v>
      </c>
      <c r="J53" s="140">
        <v>128</v>
      </c>
      <c r="K53" s="140">
        <v>131</v>
      </c>
    </row>
    <row r="55" spans="1:13">
      <c r="C55" s="95"/>
      <c r="D55" s="95"/>
      <c r="E55" s="95"/>
      <c r="F55" s="95"/>
      <c r="G55" s="95"/>
      <c r="H55" s="95"/>
      <c r="I55" s="95"/>
      <c r="J55" s="95"/>
      <c r="K55" s="96"/>
    </row>
    <row r="56" spans="1:13">
      <c r="C56" s="95"/>
      <c r="D56" s="95"/>
      <c r="E56" s="95"/>
      <c r="F56" s="95"/>
      <c r="G56" s="95"/>
      <c r="H56" s="95"/>
      <c r="I56" s="95"/>
      <c r="J56" s="95"/>
      <c r="K56" s="96"/>
    </row>
    <row r="57" spans="1:13">
      <c r="C57" s="95"/>
      <c r="D57" s="95"/>
      <c r="E57" s="95"/>
      <c r="F57" s="95"/>
      <c r="G57" s="95"/>
      <c r="H57" s="95"/>
      <c r="I57" s="95"/>
      <c r="J57" s="95"/>
      <c r="K57" s="96"/>
    </row>
    <row r="58" spans="1:13">
      <c r="C58" s="95"/>
      <c r="D58" s="95"/>
      <c r="E58" s="95"/>
      <c r="F58" s="95"/>
      <c r="G58" s="95"/>
      <c r="H58" s="95"/>
      <c r="I58" s="95"/>
      <c r="J58" s="95"/>
      <c r="K58" s="96"/>
    </row>
    <row r="59" spans="1:13">
      <c r="C59" s="95"/>
      <c r="D59" s="95"/>
      <c r="E59" s="95"/>
      <c r="F59" s="95"/>
      <c r="G59" s="95"/>
      <c r="H59" s="95"/>
      <c r="I59" s="95"/>
      <c r="J59" s="95"/>
      <c r="K59" s="96"/>
    </row>
    <row r="60" spans="1:13">
      <c r="C60" s="95"/>
      <c r="D60" s="95"/>
      <c r="E60" s="95"/>
      <c r="F60" s="95"/>
      <c r="G60" s="95"/>
      <c r="H60" s="95"/>
      <c r="I60" s="95"/>
      <c r="J60" s="95"/>
      <c r="K60" s="96"/>
    </row>
    <row r="61" spans="1:13">
      <c r="C61" s="95"/>
      <c r="D61" s="95"/>
      <c r="E61" s="95"/>
      <c r="F61" s="95"/>
      <c r="G61" s="95"/>
      <c r="H61" s="95"/>
      <c r="I61" s="95"/>
      <c r="J61" s="95"/>
      <c r="K61" s="96"/>
    </row>
    <row r="62" spans="1:13" ht="15.75">
      <c r="A62" s="59"/>
      <c r="B62" s="47"/>
      <c r="C62" s="47"/>
      <c r="D62" s="47"/>
      <c r="E62" s="47"/>
      <c r="F62" s="47"/>
      <c r="G62" s="47"/>
      <c r="H62" s="47"/>
      <c r="I62" s="47"/>
      <c r="J62" s="47"/>
      <c r="K62" s="47"/>
    </row>
  </sheetData>
  <mergeCells count="3">
    <mergeCell ref="B4:D4"/>
    <mergeCell ref="B5:D5"/>
    <mergeCell ref="B34:H34"/>
  </mergeCells>
  <pageMargins left="0.25" right="0.25" top="0.75" bottom="0.32" header="0.3" footer="0.3"/>
  <pageSetup paperSize="9" orientation="landscape" r:id="rId1"/>
  <ignoredErrors>
    <ignoredError sqref="B52:K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ENVASES LIGEROS </vt:lpstr>
      <vt:lpstr>PAPEL CARTÓN</vt:lpstr>
      <vt:lpstr>VIDRIO</vt:lpstr>
      <vt:lpstr>'ENVASES LIGEROS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maria.garcia</dc:creator>
  <cp:lastModifiedBy>Rocio Alcaide</cp:lastModifiedBy>
  <cp:lastPrinted>2020-07-14T15:56:18Z</cp:lastPrinted>
  <dcterms:created xsi:type="dcterms:W3CDTF">2020-04-02T12:10:32Z</dcterms:created>
  <dcterms:modified xsi:type="dcterms:W3CDTF">2021-01-14T00:08:24Z</dcterms:modified>
</cp:coreProperties>
</file>